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8430" yWindow="75" windowWidth="12060" windowHeight="7755"/>
  </bookViews>
  <sheets>
    <sheet name="TUTO" sheetId="7" r:id="rId1"/>
    <sheet name="Tréso HT" sheetId="3" r:id="rId2"/>
    <sheet name="Tréso TTC" sheetId="6" r:id="rId3"/>
    <sheet name="Module1" sheetId="2" state="veryHidden" r:id="rId4"/>
    <sheet name="type TVA" sheetId="8" state="hidden" r:id="rId5"/>
  </sheets>
  <definedNames>
    <definedName name="_xlnm.Print_Area" localSheetId="1">'Tréso HT'!$B$1:$X$70</definedName>
    <definedName name="_xlnm.Print_Area" localSheetId="2">'Tréso TTC'!$B$1:$X$69</definedName>
    <definedName name="_xlnm.Print_Area" localSheetId="0">TUTO!$A$1:$W$88</definedName>
  </definedNames>
  <calcPr calcId="145621"/>
</workbook>
</file>

<file path=xl/calcChain.xml><?xml version="1.0" encoding="utf-8"?>
<calcChain xmlns="http://schemas.openxmlformats.org/spreadsheetml/2006/main">
  <c r="C127" i="6" l="1"/>
  <c r="C126" i="6"/>
  <c r="C125" i="6"/>
  <c r="C119" i="6"/>
  <c r="C118" i="6"/>
  <c r="C117" i="6"/>
  <c r="C104" i="6"/>
  <c r="C102" i="6"/>
  <c r="L1" i="6"/>
  <c r="L2" i="6"/>
  <c r="V40" i="6"/>
  <c r="W40" i="6"/>
  <c r="G127" i="6" l="1"/>
  <c r="D3" i="6"/>
  <c r="V127" i="6" l="1"/>
  <c r="N127" i="6"/>
  <c r="F127" i="6"/>
  <c r="U127" i="6"/>
  <c r="M127" i="6"/>
  <c r="E127" i="6"/>
  <c r="T127" i="6"/>
  <c r="L127" i="6"/>
  <c r="S127" i="6"/>
  <c r="K127" i="6"/>
  <c r="Q127" i="6"/>
  <c r="I127" i="6"/>
  <c r="R127" i="6"/>
  <c r="J127" i="6"/>
  <c r="D127" i="6"/>
  <c r="P127" i="6"/>
  <c r="H127" i="6"/>
  <c r="W127" i="6"/>
  <c r="O127" i="6"/>
  <c r="B53" i="6"/>
  <c r="B24" i="6" l="1"/>
  <c r="K2" i="6"/>
  <c r="K3" i="6"/>
  <c r="L3" i="6"/>
  <c r="M3" i="6"/>
  <c r="O3" i="6"/>
  <c r="P3" i="6"/>
  <c r="Q3" i="6"/>
  <c r="Q2" i="6" s="1"/>
  <c r="K1" i="6"/>
  <c r="B26" i="6"/>
  <c r="C105" i="6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8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62" i="6"/>
  <c r="X61" i="6"/>
  <c r="X63" i="6" s="1"/>
  <c r="F17" i="6"/>
  <c r="P23" i="3"/>
  <c r="Q23" i="3"/>
  <c r="R23" i="3"/>
  <c r="S23" i="3"/>
  <c r="T23" i="3"/>
  <c r="U23" i="3"/>
  <c r="V23" i="3"/>
  <c r="W23" i="3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D84" i="7"/>
  <c r="E84" i="7" s="1"/>
  <c r="F84" i="7" s="1"/>
  <c r="G84" i="7" s="1"/>
  <c r="H84" i="7" s="1"/>
  <c r="I84" i="7" s="1"/>
  <c r="J84" i="7" s="1"/>
  <c r="K84" i="7" s="1"/>
  <c r="L84" i="7" s="1"/>
  <c r="M84" i="7" s="1"/>
  <c r="N84" i="7" s="1"/>
  <c r="W81" i="7"/>
  <c r="W80" i="7"/>
  <c r="A77" i="7"/>
  <c r="W44" i="7"/>
  <c r="N42" i="7"/>
  <c r="M42" i="7"/>
  <c r="L42" i="7"/>
  <c r="K42" i="7"/>
  <c r="J42" i="7"/>
  <c r="I42" i="7"/>
  <c r="H42" i="7"/>
  <c r="G42" i="7"/>
  <c r="F42" i="7"/>
  <c r="E42" i="7"/>
  <c r="D42" i="7"/>
  <c r="C42" i="7"/>
  <c r="W40" i="7"/>
  <c r="W39" i="7"/>
  <c r="W38" i="7"/>
  <c r="W37" i="7"/>
  <c r="W32" i="7"/>
  <c r="W31" i="7"/>
  <c r="W30" i="7"/>
  <c r="W29" i="7"/>
  <c r="W28" i="7"/>
  <c r="W27" i="7"/>
  <c r="C23" i="7"/>
  <c r="D23" i="7" s="1"/>
  <c r="G46" i="6"/>
  <c r="E26" i="6"/>
  <c r="F26" i="6"/>
  <c r="G26" i="6"/>
  <c r="H26" i="6"/>
  <c r="I26" i="6"/>
  <c r="L26" i="6"/>
  <c r="P26" i="6"/>
  <c r="Q26" i="6"/>
  <c r="R26" i="6"/>
  <c r="S26" i="6"/>
  <c r="T26" i="6"/>
  <c r="U26" i="6"/>
  <c r="V26" i="6"/>
  <c r="W26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P28" i="6"/>
  <c r="Q28" i="6"/>
  <c r="R28" i="6"/>
  <c r="S28" i="6"/>
  <c r="T28" i="6"/>
  <c r="U28" i="6"/>
  <c r="V28" i="6"/>
  <c r="W28" i="6"/>
  <c r="F29" i="6"/>
  <c r="H29" i="6"/>
  <c r="J29" i="6"/>
  <c r="L29" i="6"/>
  <c r="N29" i="6"/>
  <c r="O29" i="6"/>
  <c r="P29" i="6"/>
  <c r="Q29" i="6"/>
  <c r="R29" i="6"/>
  <c r="S29" i="6"/>
  <c r="T29" i="6"/>
  <c r="U29" i="6"/>
  <c r="V29" i="6"/>
  <c r="W29" i="6"/>
  <c r="P30" i="6"/>
  <c r="Q30" i="6"/>
  <c r="R30" i="6"/>
  <c r="S30" i="6"/>
  <c r="T30" i="6"/>
  <c r="U30" i="6"/>
  <c r="V30" i="6"/>
  <c r="W30" i="6"/>
  <c r="E31" i="6"/>
  <c r="G31" i="6"/>
  <c r="I31" i="6"/>
  <c r="K31" i="6"/>
  <c r="M31" i="6"/>
  <c r="O31" i="6"/>
  <c r="P31" i="6"/>
  <c r="Q31" i="6"/>
  <c r="R31" i="6"/>
  <c r="S31" i="6"/>
  <c r="T31" i="6"/>
  <c r="U31" i="6"/>
  <c r="V31" i="6"/>
  <c r="W31" i="6"/>
  <c r="E32" i="6"/>
  <c r="F32" i="6"/>
  <c r="G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P33" i="6"/>
  <c r="Q33" i="6"/>
  <c r="R33" i="6"/>
  <c r="S33" i="6"/>
  <c r="T33" i="6"/>
  <c r="U33" i="6"/>
  <c r="V33" i="6"/>
  <c r="W33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E36" i="6"/>
  <c r="F36" i="6"/>
  <c r="G36" i="6"/>
  <c r="H36" i="6"/>
  <c r="M36" i="6"/>
  <c r="N36" i="6"/>
  <c r="O36" i="6"/>
  <c r="P36" i="6"/>
  <c r="Q36" i="6"/>
  <c r="R36" i="6"/>
  <c r="S36" i="6"/>
  <c r="T36" i="6"/>
  <c r="U36" i="6"/>
  <c r="V36" i="6"/>
  <c r="W36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P38" i="6"/>
  <c r="Q38" i="6"/>
  <c r="R38" i="6"/>
  <c r="S38" i="6"/>
  <c r="T38" i="6"/>
  <c r="U38" i="6"/>
  <c r="V38" i="6"/>
  <c r="W38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E41" i="6"/>
  <c r="G41" i="6"/>
  <c r="H41" i="6"/>
  <c r="I41" i="6"/>
  <c r="K41" i="6"/>
  <c r="L41" i="6"/>
  <c r="N41" i="6"/>
  <c r="O41" i="6"/>
  <c r="P41" i="6"/>
  <c r="Q41" i="6"/>
  <c r="R41" i="6"/>
  <c r="S41" i="6"/>
  <c r="T41" i="6"/>
  <c r="U41" i="6"/>
  <c r="V41" i="6"/>
  <c r="W41" i="6"/>
  <c r="P42" i="6"/>
  <c r="Q42" i="6"/>
  <c r="R42" i="6"/>
  <c r="S42" i="6"/>
  <c r="T42" i="6"/>
  <c r="U42" i="6"/>
  <c r="V42" i="6"/>
  <c r="W42" i="6"/>
  <c r="P43" i="6"/>
  <c r="Q43" i="6"/>
  <c r="R43" i="6"/>
  <c r="S43" i="6"/>
  <c r="T43" i="6"/>
  <c r="U43" i="6"/>
  <c r="V43" i="6"/>
  <c r="W43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E46" i="6"/>
  <c r="F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E52" i="6"/>
  <c r="H52" i="6"/>
  <c r="I52" i="6"/>
  <c r="J52" i="6"/>
  <c r="K52" i="6"/>
  <c r="M52" i="6"/>
  <c r="N52" i="6"/>
  <c r="O52" i="6"/>
  <c r="P52" i="6"/>
  <c r="Q52" i="6"/>
  <c r="R52" i="6"/>
  <c r="S52" i="6"/>
  <c r="T52" i="6"/>
  <c r="U52" i="6"/>
  <c r="V52" i="6"/>
  <c r="W52" i="6"/>
  <c r="D40" i="6"/>
  <c r="D41" i="6"/>
  <c r="D45" i="6"/>
  <c r="D46" i="6"/>
  <c r="D47" i="6"/>
  <c r="D48" i="6"/>
  <c r="D49" i="6"/>
  <c r="D50" i="6"/>
  <c r="D52" i="6"/>
  <c r="D34" i="6"/>
  <c r="D35" i="6"/>
  <c r="D36" i="6"/>
  <c r="D37" i="6"/>
  <c r="D39" i="6"/>
  <c r="D27" i="6"/>
  <c r="D29" i="6"/>
  <c r="D32" i="6"/>
  <c r="D26" i="6"/>
  <c r="D71" i="7"/>
  <c r="D72" i="7" s="1"/>
  <c r="D73" i="7" s="1"/>
  <c r="C71" i="7"/>
  <c r="C72" i="7" s="1"/>
  <c r="C32" i="6"/>
  <c r="H32" i="6" s="1"/>
  <c r="C33" i="6"/>
  <c r="F33" i="6" s="1"/>
  <c r="C34" i="6"/>
  <c r="C35" i="6"/>
  <c r="C36" i="6"/>
  <c r="K36" i="6" s="1"/>
  <c r="C37" i="6"/>
  <c r="C38" i="6"/>
  <c r="E38" i="6" s="1"/>
  <c r="C39" i="6"/>
  <c r="C40" i="6"/>
  <c r="C41" i="6"/>
  <c r="F41" i="6" s="1"/>
  <c r="C42" i="6"/>
  <c r="E42" i="6" s="1"/>
  <c r="C43" i="6"/>
  <c r="C44" i="6"/>
  <c r="W44" i="6" s="1"/>
  <c r="C45" i="6"/>
  <c r="C46" i="6"/>
  <c r="C47" i="6"/>
  <c r="C48" i="6"/>
  <c r="C49" i="6"/>
  <c r="C50" i="6"/>
  <c r="C51" i="6"/>
  <c r="C52" i="6"/>
  <c r="L52" i="6" s="1"/>
  <c r="C53" i="6"/>
  <c r="C10" i="6"/>
  <c r="C11" i="6"/>
  <c r="L11" i="6" s="1"/>
  <c r="C12" i="6"/>
  <c r="M12" i="6" s="1"/>
  <c r="C13" i="6"/>
  <c r="C14" i="6"/>
  <c r="E14" i="6" s="1"/>
  <c r="C15" i="6"/>
  <c r="C16" i="6"/>
  <c r="C17" i="6"/>
  <c r="C18" i="6"/>
  <c r="C19" i="6"/>
  <c r="G19" i="6" s="1"/>
  <c r="C20" i="6"/>
  <c r="C21" i="6"/>
  <c r="C22" i="6"/>
  <c r="C24" i="6"/>
  <c r="C25" i="6"/>
  <c r="C26" i="6"/>
  <c r="O26" i="6" s="1"/>
  <c r="C27" i="6"/>
  <c r="C28" i="6"/>
  <c r="L28" i="6" s="1"/>
  <c r="C29" i="6"/>
  <c r="K29" i="6" s="1"/>
  <c r="C30" i="6"/>
  <c r="H30" i="6" s="1"/>
  <c r="C31" i="6"/>
  <c r="H31" i="6" s="1"/>
  <c r="C9" i="6"/>
  <c r="G9" i="6" s="1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D11" i="6"/>
  <c r="E11" i="6"/>
  <c r="F11" i="6"/>
  <c r="G11" i="6"/>
  <c r="H11" i="6"/>
  <c r="I11" i="6"/>
  <c r="M11" i="6"/>
  <c r="N11" i="6"/>
  <c r="O11" i="6"/>
  <c r="P11" i="6"/>
  <c r="Q11" i="6"/>
  <c r="R11" i="6"/>
  <c r="S11" i="6"/>
  <c r="T11" i="6"/>
  <c r="U11" i="6"/>
  <c r="V11" i="6"/>
  <c r="W11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D14" i="6"/>
  <c r="F14" i="6"/>
  <c r="G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D17" i="6"/>
  <c r="E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D19" i="6"/>
  <c r="E19" i="6"/>
  <c r="F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E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D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5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9" i="6"/>
  <c r="D7" i="6"/>
  <c r="D4" i="6"/>
  <c r="D6" i="6" s="1"/>
  <c r="E65" i="6"/>
  <c r="F65" i="6" s="1"/>
  <c r="G65" i="6" s="1"/>
  <c r="H65" i="6" s="1"/>
  <c r="I65" i="6" s="1"/>
  <c r="J65" i="6" s="1"/>
  <c r="K65" i="6" s="1"/>
  <c r="L65" i="6" s="1"/>
  <c r="M65" i="6" s="1"/>
  <c r="N65" i="6" s="1"/>
  <c r="O65" i="6" s="1"/>
  <c r="P65" i="6" s="1"/>
  <c r="Q65" i="6" s="1"/>
  <c r="R65" i="6" s="1"/>
  <c r="S65" i="6" s="1"/>
  <c r="T65" i="6" s="1"/>
  <c r="U65" i="6" s="1"/>
  <c r="V65" i="6" s="1"/>
  <c r="W65" i="6" s="1"/>
  <c r="D4" i="3"/>
  <c r="D5" i="3" s="1"/>
  <c r="D23" i="3"/>
  <c r="E23" i="3"/>
  <c r="F23" i="3"/>
  <c r="G23" i="3"/>
  <c r="H23" i="3"/>
  <c r="I23" i="3"/>
  <c r="J23" i="3"/>
  <c r="K23" i="3"/>
  <c r="L23" i="3"/>
  <c r="M23" i="3"/>
  <c r="N23" i="3"/>
  <c r="O23" i="3"/>
  <c r="X63" i="3"/>
  <c r="X62" i="3"/>
  <c r="X64" i="3" s="1"/>
  <c r="B59" i="3"/>
  <c r="X25" i="3"/>
  <c r="E66" i="3"/>
  <c r="F66" i="3" s="1"/>
  <c r="G66" i="3" s="1"/>
  <c r="H66" i="3" s="1"/>
  <c r="I66" i="3" s="1"/>
  <c r="J66" i="3" s="1"/>
  <c r="K66" i="3" s="1"/>
  <c r="L66" i="3" s="1"/>
  <c r="M66" i="3" s="1"/>
  <c r="N66" i="3" s="1"/>
  <c r="O66" i="3" s="1"/>
  <c r="E12" i="6"/>
  <c r="E71" i="7"/>
  <c r="E72" i="7" s="1"/>
  <c r="O12" i="6"/>
  <c r="E43" i="6"/>
  <c r="F43" i="6"/>
  <c r="N43" i="6"/>
  <c r="G43" i="6"/>
  <c r="O43" i="6"/>
  <c r="H43" i="6"/>
  <c r="I43" i="6"/>
  <c r="J43" i="6"/>
  <c r="K43" i="6"/>
  <c r="D43" i="6"/>
  <c r="L43" i="6"/>
  <c r="M43" i="6"/>
  <c r="F71" i="7"/>
  <c r="F72" i="7" s="1"/>
  <c r="F73" i="7" s="1"/>
  <c r="G71" i="7"/>
  <c r="G72" i="7" s="1"/>
  <c r="H71" i="7"/>
  <c r="H72" i="7" s="1"/>
  <c r="H73" i="7" s="1"/>
  <c r="I71" i="7"/>
  <c r="I72" i="7" s="1"/>
  <c r="J71" i="7"/>
  <c r="J72" i="7" s="1"/>
  <c r="J73" i="7" s="1"/>
  <c r="K71" i="7"/>
  <c r="K72" i="7" s="1"/>
  <c r="K73" i="7" s="1"/>
  <c r="L71" i="7"/>
  <c r="L72" i="7" s="1"/>
  <c r="L73" i="7" s="1"/>
  <c r="M71" i="7"/>
  <c r="M72" i="7" s="1"/>
  <c r="M73" i="7" s="1"/>
  <c r="N71" i="7"/>
  <c r="N72" i="7" s="1"/>
  <c r="N73" i="7" s="1"/>
  <c r="O71" i="7"/>
  <c r="O72" i="7" s="1"/>
  <c r="O73" i="7" s="1"/>
  <c r="P71" i="7"/>
  <c r="P72" i="7" s="1"/>
  <c r="P73" i="7" s="1"/>
  <c r="Q71" i="7"/>
  <c r="Q72" i="7" s="1"/>
  <c r="Q73" i="7" s="1"/>
  <c r="R71" i="7"/>
  <c r="R72" i="7" s="1"/>
  <c r="R73" i="7" s="1"/>
  <c r="S71" i="7"/>
  <c r="S72" i="7" s="1"/>
  <c r="S73" i="7" s="1"/>
  <c r="T71" i="7"/>
  <c r="T72" i="7" s="1"/>
  <c r="T73" i="7" s="1"/>
  <c r="V71" i="7"/>
  <c r="V72" i="7" s="1"/>
  <c r="V73" i="7" s="1"/>
  <c r="U71" i="7"/>
  <c r="U72" i="7"/>
  <c r="U73" i="7" s="1"/>
  <c r="J26" i="6"/>
  <c r="G28" i="6"/>
  <c r="K12" i="6"/>
  <c r="M38" i="6"/>
  <c r="H28" i="6"/>
  <c r="J28" i="6"/>
  <c r="P12" i="6"/>
  <c r="H51" i="6"/>
  <c r="R12" i="6"/>
  <c r="H33" i="6"/>
  <c r="N28" i="6"/>
  <c r="I42" i="6"/>
  <c r="J11" i="6"/>
  <c r="D54" i="3"/>
  <c r="E53" i="6"/>
  <c r="E54" i="3"/>
  <c r="F54" i="3"/>
  <c r="F53" i="6"/>
  <c r="G54" i="3"/>
  <c r="G53" i="6"/>
  <c r="H53" i="6"/>
  <c r="H54" i="3"/>
  <c r="I54" i="3"/>
  <c r="I53" i="6"/>
  <c r="J54" i="3"/>
  <c r="J53" i="6"/>
  <c r="K54" i="3"/>
  <c r="K53" i="6"/>
  <c r="L54" i="3"/>
  <c r="L53" i="6"/>
  <c r="M54" i="3"/>
  <c r="M55" i="3" s="1"/>
  <c r="M53" i="6"/>
  <c r="N54" i="3"/>
  <c r="N53" i="6"/>
  <c r="O53" i="6"/>
  <c r="O54" i="3"/>
  <c r="X53" i="3"/>
  <c r="P54" i="3"/>
  <c r="P55" i="3"/>
  <c r="P53" i="6"/>
  <c r="Q53" i="6"/>
  <c r="Q54" i="3"/>
  <c r="Q55" i="3" s="1"/>
  <c r="R53" i="6"/>
  <c r="R54" i="3"/>
  <c r="R55" i="3" s="1"/>
  <c r="S54" i="3"/>
  <c r="S55" i="3" s="1"/>
  <c r="S53" i="6"/>
  <c r="T53" i="6"/>
  <c r="T54" i="3"/>
  <c r="T55" i="3" s="1"/>
  <c r="U53" i="6"/>
  <c r="U54" i="3"/>
  <c r="U55" i="3" s="1"/>
  <c r="V53" i="6"/>
  <c r="V54" i="3"/>
  <c r="V55" i="3" s="1"/>
  <c r="W54" i="3"/>
  <c r="W55" i="3" s="1"/>
  <c r="W53" i="6"/>
  <c r="M29" i="6"/>
  <c r="M41" i="6"/>
  <c r="H9" i="6"/>
  <c r="J41" i="6"/>
  <c r="I55" i="3" l="1"/>
  <c r="O55" i="3"/>
  <c r="H55" i="3"/>
  <c r="E4" i="3"/>
  <c r="X34" i="6"/>
  <c r="J55" i="3"/>
  <c r="X17" i="6"/>
  <c r="X15" i="6"/>
  <c r="X19" i="6"/>
  <c r="X35" i="6"/>
  <c r="X32" i="6"/>
  <c r="X16" i="6"/>
  <c r="X18" i="6"/>
  <c r="X27" i="6"/>
  <c r="X39" i="6"/>
  <c r="X37" i="6"/>
  <c r="K55" i="3"/>
  <c r="D55" i="3"/>
  <c r="D57" i="3" s="1"/>
  <c r="D65" i="3" s="1"/>
  <c r="X23" i="3"/>
  <c r="G55" i="3"/>
  <c r="N55" i="3"/>
  <c r="E55" i="3"/>
  <c r="L55" i="3"/>
  <c r="F55" i="3"/>
  <c r="W36" i="7"/>
  <c r="W42" i="7"/>
  <c r="I73" i="7"/>
  <c r="E73" i="7"/>
  <c r="W82" i="7"/>
  <c r="G73" i="7"/>
  <c r="D24" i="7"/>
  <c r="E23" i="7"/>
  <c r="C24" i="7"/>
  <c r="W72" i="7"/>
  <c r="C73" i="7"/>
  <c r="C75" i="7" s="1"/>
  <c r="W71" i="7"/>
  <c r="S12" i="6"/>
  <c r="S95" i="6" s="1"/>
  <c r="N12" i="6"/>
  <c r="N95" i="6" s="1"/>
  <c r="G12" i="6"/>
  <c r="G29" i="6"/>
  <c r="D12" i="6"/>
  <c r="I12" i="6"/>
  <c r="I95" i="6" s="1"/>
  <c r="S104" i="6"/>
  <c r="U104" i="6"/>
  <c r="T104" i="6"/>
  <c r="N104" i="6"/>
  <c r="V104" i="6"/>
  <c r="W104" i="6"/>
  <c r="O104" i="6"/>
  <c r="P104" i="6"/>
  <c r="Q104" i="6"/>
  <c r="R104" i="6"/>
  <c r="M104" i="6"/>
  <c r="D102" i="6"/>
  <c r="N102" i="6"/>
  <c r="V102" i="6"/>
  <c r="O102" i="6"/>
  <c r="W102" i="6"/>
  <c r="P102" i="6"/>
  <c r="Q102" i="6"/>
  <c r="R102" i="6"/>
  <c r="S102" i="6"/>
  <c r="T102" i="6"/>
  <c r="M102" i="6"/>
  <c r="U102" i="6"/>
  <c r="G52" i="6"/>
  <c r="H102" i="6"/>
  <c r="J102" i="6"/>
  <c r="I102" i="6"/>
  <c r="F102" i="6"/>
  <c r="H44" i="6"/>
  <c r="F28" i="6"/>
  <c r="N26" i="6"/>
  <c r="M44" i="6"/>
  <c r="Q12" i="6"/>
  <c r="V12" i="6"/>
  <c r="V95" i="6" s="1"/>
  <c r="G105" i="6"/>
  <c r="O105" i="6"/>
  <c r="W105" i="6"/>
  <c r="H105" i="6"/>
  <c r="P105" i="6"/>
  <c r="I105" i="6"/>
  <c r="Q105" i="6"/>
  <c r="J105" i="6"/>
  <c r="R105" i="6"/>
  <c r="V105" i="6"/>
  <c r="K105" i="6"/>
  <c r="S105" i="6"/>
  <c r="D105" i="6"/>
  <c r="L105" i="6"/>
  <c r="T105" i="6"/>
  <c r="E105" i="6"/>
  <c r="M105" i="6"/>
  <c r="U105" i="6"/>
  <c r="F105" i="6"/>
  <c r="N105" i="6"/>
  <c r="I29" i="6"/>
  <c r="W12" i="6"/>
  <c r="W95" i="6" s="1"/>
  <c r="F12" i="6"/>
  <c r="K26" i="6"/>
  <c r="D33" i="6"/>
  <c r="H42" i="6"/>
  <c r="O42" i="6"/>
  <c r="K51" i="6"/>
  <c r="D51" i="6"/>
  <c r="J31" i="6"/>
  <c r="F42" i="6"/>
  <c r="M33" i="6"/>
  <c r="F38" i="6"/>
  <c r="L42" i="6"/>
  <c r="T44" i="6"/>
  <c r="G38" i="6"/>
  <c r="H38" i="6"/>
  <c r="N42" i="6"/>
  <c r="M42" i="6"/>
  <c r="J33" i="6"/>
  <c r="X48" i="6"/>
  <c r="X47" i="6"/>
  <c r="X46" i="6"/>
  <c r="X50" i="6"/>
  <c r="G42" i="6"/>
  <c r="N38" i="6"/>
  <c r="L38" i="6"/>
  <c r="I33" i="6"/>
  <c r="K42" i="6"/>
  <c r="L51" i="6"/>
  <c r="I36" i="6"/>
  <c r="U51" i="6"/>
  <c r="N44" i="6"/>
  <c r="R44" i="6"/>
  <c r="N51" i="6"/>
  <c r="J36" i="6"/>
  <c r="R51" i="6"/>
  <c r="V51" i="6"/>
  <c r="K44" i="6"/>
  <c r="G44" i="6"/>
  <c r="D31" i="6"/>
  <c r="N31" i="6"/>
  <c r="F44" i="6"/>
  <c r="J51" i="6"/>
  <c r="L36" i="6"/>
  <c r="F31" i="6"/>
  <c r="D44" i="6"/>
  <c r="U44" i="6"/>
  <c r="I51" i="6"/>
  <c r="M51" i="6"/>
  <c r="T51" i="6"/>
  <c r="V44" i="6"/>
  <c r="J44" i="6"/>
  <c r="E51" i="6"/>
  <c r="E44" i="6"/>
  <c r="Q51" i="6"/>
  <c r="O51" i="6"/>
  <c r="L31" i="6"/>
  <c r="L44" i="6"/>
  <c r="P44" i="6"/>
  <c r="G51" i="6"/>
  <c r="W51" i="6"/>
  <c r="W96" i="6" s="1"/>
  <c r="I44" i="6"/>
  <c r="P51" i="6"/>
  <c r="Q44" i="6"/>
  <c r="S44" i="6"/>
  <c r="D112" i="6"/>
  <c r="O44" i="6"/>
  <c r="S51" i="6"/>
  <c r="G33" i="6"/>
  <c r="E30" i="6"/>
  <c r="E33" i="6"/>
  <c r="N33" i="6"/>
  <c r="J42" i="6"/>
  <c r="L33" i="6"/>
  <c r="L30" i="6"/>
  <c r="P95" i="6"/>
  <c r="F51" i="6"/>
  <c r="M26" i="6"/>
  <c r="D42" i="6"/>
  <c r="X20" i="6"/>
  <c r="D30" i="6"/>
  <c r="K30" i="6"/>
  <c r="O33" i="6"/>
  <c r="O30" i="6"/>
  <c r="F52" i="6"/>
  <c r="I30" i="6"/>
  <c r="K33" i="6"/>
  <c r="N30" i="6"/>
  <c r="M30" i="6"/>
  <c r="G30" i="6"/>
  <c r="K11" i="6"/>
  <c r="K38" i="6"/>
  <c r="D38" i="6"/>
  <c r="F30" i="6"/>
  <c r="J30" i="6"/>
  <c r="L12" i="6"/>
  <c r="L95" i="6" s="1"/>
  <c r="O95" i="6"/>
  <c r="X22" i="6"/>
  <c r="J12" i="6"/>
  <c r="J95" i="6" s="1"/>
  <c r="F9" i="6"/>
  <c r="M95" i="6"/>
  <c r="X41" i="6"/>
  <c r="D95" i="6"/>
  <c r="X43" i="6"/>
  <c r="H12" i="6"/>
  <c r="I38" i="6"/>
  <c r="T12" i="6"/>
  <c r="T95" i="6" s="1"/>
  <c r="U12" i="6"/>
  <c r="X13" i="6"/>
  <c r="X49" i="6"/>
  <c r="X45" i="6"/>
  <c r="X40" i="6"/>
  <c r="L102" i="6"/>
  <c r="E102" i="6"/>
  <c r="G102" i="6"/>
  <c r="K102" i="6"/>
  <c r="X54" i="3"/>
  <c r="G95" i="6"/>
  <c r="E95" i="6"/>
  <c r="X53" i="6"/>
  <c r="R95" i="6"/>
  <c r="X21" i="6"/>
  <c r="X10" i="6"/>
  <c r="H14" i="6"/>
  <c r="E28" i="6"/>
  <c r="O28" i="6"/>
  <c r="D28" i="6"/>
  <c r="E4" i="6"/>
  <c r="E29" i="6"/>
  <c r="X29" i="6" s="1"/>
  <c r="J38" i="6"/>
  <c r="K28" i="6"/>
  <c r="I28" i="6"/>
  <c r="O38" i="6"/>
  <c r="D5" i="6"/>
  <c r="D122" i="6" s="1"/>
  <c r="D125" i="6" s="1"/>
  <c r="M28" i="6"/>
  <c r="K104" i="6"/>
  <c r="H104" i="6"/>
  <c r="F104" i="6"/>
  <c r="E104" i="6"/>
  <c r="I104" i="6"/>
  <c r="L104" i="6"/>
  <c r="E57" i="3" l="1"/>
  <c r="F57" i="3" s="1"/>
  <c r="G57" i="3" s="1"/>
  <c r="H57" i="3" s="1"/>
  <c r="I57" i="3" s="1"/>
  <c r="J57" i="3" s="1"/>
  <c r="K57" i="3" s="1"/>
  <c r="L57" i="3" s="1"/>
  <c r="M57" i="3" s="1"/>
  <c r="N57" i="3" s="1"/>
  <c r="O57" i="3" s="1"/>
  <c r="P57" i="3" s="1"/>
  <c r="Q57" i="3" s="1"/>
  <c r="R57" i="3" s="1"/>
  <c r="S57" i="3" s="1"/>
  <c r="T57" i="3" s="1"/>
  <c r="U57" i="3" s="1"/>
  <c r="V57" i="3" s="1"/>
  <c r="W57" i="3" s="1"/>
  <c r="E5" i="3"/>
  <c r="F4" i="3"/>
  <c r="X36" i="6"/>
  <c r="X30" i="6"/>
  <c r="X31" i="6"/>
  <c r="X38" i="6"/>
  <c r="X28" i="6"/>
  <c r="X33" i="6"/>
  <c r="E24" i="7"/>
  <c r="F23" i="7"/>
  <c r="C83" i="7"/>
  <c r="D75" i="7"/>
  <c r="E75" i="7" s="1"/>
  <c r="F75" i="7" s="1"/>
  <c r="G75" i="7" s="1"/>
  <c r="H75" i="7" s="1"/>
  <c r="I75" i="7" s="1"/>
  <c r="J75" i="7" s="1"/>
  <c r="K75" i="7" s="1"/>
  <c r="L75" i="7" s="1"/>
  <c r="M75" i="7" s="1"/>
  <c r="N75" i="7" s="1"/>
  <c r="O75" i="7" s="1"/>
  <c r="P75" i="7" s="1"/>
  <c r="Q75" i="7" s="1"/>
  <c r="R75" i="7" s="1"/>
  <c r="S75" i="7" s="1"/>
  <c r="T75" i="7" s="1"/>
  <c r="U75" i="7" s="1"/>
  <c r="V75" i="7" s="1"/>
  <c r="I106" i="6"/>
  <c r="F95" i="6"/>
  <c r="M96" i="6"/>
  <c r="M97" i="6" s="1"/>
  <c r="M98" i="6" s="1"/>
  <c r="V96" i="6"/>
  <c r="V97" i="6" s="1"/>
  <c r="V98" i="6" s="1"/>
  <c r="X26" i="6"/>
  <c r="R96" i="6"/>
  <c r="R97" i="6" s="1"/>
  <c r="R98" i="6" s="1"/>
  <c r="U96" i="6"/>
  <c r="S96" i="6"/>
  <c r="S97" i="6" s="1"/>
  <c r="S98" i="6" s="1"/>
  <c r="Q95" i="6"/>
  <c r="Q96" i="6"/>
  <c r="D123" i="6"/>
  <c r="G96" i="6"/>
  <c r="G97" i="6" s="1"/>
  <c r="G98" i="6" s="1"/>
  <c r="X52" i="6"/>
  <c r="W99" i="6"/>
  <c r="W97" i="6"/>
  <c r="W98" i="6" s="1"/>
  <c r="X51" i="6"/>
  <c r="X42" i="6"/>
  <c r="N96" i="6"/>
  <c r="N99" i="6" s="1"/>
  <c r="H96" i="6"/>
  <c r="X44" i="6"/>
  <c r="P96" i="6"/>
  <c r="P97" i="6" s="1"/>
  <c r="P98" i="6" s="1"/>
  <c r="T96" i="6"/>
  <c r="T99" i="6" s="1"/>
  <c r="X12" i="6"/>
  <c r="H95" i="6"/>
  <c r="K95" i="6"/>
  <c r="L96" i="6"/>
  <c r="L97" i="6" s="1"/>
  <c r="L98" i="6" s="1"/>
  <c r="X11" i="6"/>
  <c r="J96" i="6"/>
  <c r="J97" i="6" s="1"/>
  <c r="J98" i="6" s="1"/>
  <c r="X9" i="6"/>
  <c r="D111" i="6"/>
  <c r="D113" i="6" s="1"/>
  <c r="D117" i="6" s="1"/>
  <c r="U95" i="6"/>
  <c r="F96" i="6"/>
  <c r="L106" i="6"/>
  <c r="E106" i="6"/>
  <c r="H106" i="6"/>
  <c r="K106" i="6"/>
  <c r="F106" i="6"/>
  <c r="E65" i="3"/>
  <c r="D67" i="3"/>
  <c r="D69" i="3"/>
  <c r="D114" i="6"/>
  <c r="D118" i="6" s="1"/>
  <c r="D96" i="6"/>
  <c r="I96" i="6"/>
  <c r="I97" i="6" s="1"/>
  <c r="I98" i="6" s="1"/>
  <c r="E96" i="6"/>
  <c r="E97" i="6" s="1"/>
  <c r="E98" i="6" s="1"/>
  <c r="E5" i="6"/>
  <c r="F4" i="6"/>
  <c r="E6" i="6"/>
  <c r="O96" i="6"/>
  <c r="O99" i="6" s="1"/>
  <c r="X14" i="6"/>
  <c r="K96" i="6"/>
  <c r="F5" i="3" l="1"/>
  <c r="G4" i="3"/>
  <c r="F24" i="7"/>
  <c r="G23" i="7"/>
  <c r="D83" i="7"/>
  <c r="C85" i="7"/>
  <c r="C87" i="7"/>
  <c r="V99" i="6"/>
  <c r="D119" i="6"/>
  <c r="F97" i="6"/>
  <c r="F98" i="6" s="1"/>
  <c r="R99" i="6"/>
  <c r="H97" i="6"/>
  <c r="H98" i="6" s="1"/>
  <c r="S99" i="6"/>
  <c r="Q99" i="6"/>
  <c r="Q97" i="6"/>
  <c r="Q98" i="6" s="1"/>
  <c r="E121" i="6"/>
  <c r="E122" i="6" s="1"/>
  <c r="E125" i="6" s="1"/>
  <c r="K97" i="6"/>
  <c r="K98" i="6" s="1"/>
  <c r="D99" i="6"/>
  <c r="D97" i="6"/>
  <c r="D98" i="6" s="1"/>
  <c r="N97" i="6"/>
  <c r="N98" i="6" s="1"/>
  <c r="U99" i="6"/>
  <c r="U97" i="6"/>
  <c r="U98" i="6" s="1"/>
  <c r="T97" i="6"/>
  <c r="T98" i="6" s="1"/>
  <c r="P99" i="6"/>
  <c r="O97" i="6"/>
  <c r="O98" i="6" s="1"/>
  <c r="E114" i="6"/>
  <c r="E118" i="6" s="1"/>
  <c r="E69" i="3"/>
  <c r="E67" i="3"/>
  <c r="F65" i="3"/>
  <c r="E111" i="6"/>
  <c r="E112" i="6"/>
  <c r="F5" i="6"/>
  <c r="G4" i="6"/>
  <c r="F6" i="6"/>
  <c r="G5" i="3" l="1"/>
  <c r="H4" i="3"/>
  <c r="E123" i="6"/>
  <c r="H23" i="7"/>
  <c r="G24" i="7"/>
  <c r="E83" i="7"/>
  <c r="D87" i="7"/>
  <c r="D85" i="7"/>
  <c r="D104" i="6"/>
  <c r="E99" i="6"/>
  <c r="D100" i="6"/>
  <c r="F121" i="6"/>
  <c r="F122" i="6" s="1"/>
  <c r="F125" i="6" s="1"/>
  <c r="E113" i="6"/>
  <c r="E117" i="6" s="1"/>
  <c r="E119" i="6" s="1"/>
  <c r="E129" i="6" s="1"/>
  <c r="F67" i="3"/>
  <c r="F69" i="3"/>
  <c r="G65" i="3"/>
  <c r="F114" i="6"/>
  <c r="F118" i="6" s="1"/>
  <c r="G5" i="6"/>
  <c r="G123" i="6" s="1"/>
  <c r="G126" i="6" s="1"/>
  <c r="H4" i="6"/>
  <c r="G6" i="6"/>
  <c r="F112" i="6"/>
  <c r="F111" i="6"/>
  <c r="I4" i="3" l="1"/>
  <c r="H5" i="3"/>
  <c r="I23" i="7"/>
  <c r="H24" i="7"/>
  <c r="E87" i="7"/>
  <c r="F83" i="7"/>
  <c r="E85" i="7"/>
  <c r="E130" i="6"/>
  <c r="E54" i="6" s="1"/>
  <c r="E55" i="6" s="1"/>
  <c r="E131" i="6"/>
  <c r="E23" i="6" s="1"/>
  <c r="E24" i="6" s="1"/>
  <c r="E100" i="6"/>
  <c r="F99" i="6"/>
  <c r="G99" i="6" s="1"/>
  <c r="D106" i="6"/>
  <c r="D129" i="6"/>
  <c r="F123" i="6"/>
  <c r="F126" i="6" s="1"/>
  <c r="G121" i="6"/>
  <c r="G122" i="6" s="1"/>
  <c r="G69" i="3"/>
  <c r="G67" i="3"/>
  <c r="H65" i="3"/>
  <c r="G111" i="6"/>
  <c r="G113" i="6" s="1"/>
  <c r="G117" i="6" s="1"/>
  <c r="G112" i="6"/>
  <c r="G114" i="6"/>
  <c r="G118" i="6" s="1"/>
  <c r="H6" i="6"/>
  <c r="H5" i="6"/>
  <c r="H123" i="6" s="1"/>
  <c r="H126" i="6" s="1"/>
  <c r="I4" i="6"/>
  <c r="F113" i="6"/>
  <c r="F117" i="6" s="1"/>
  <c r="F119" i="6" s="1"/>
  <c r="F129" i="6" s="1"/>
  <c r="J4" i="3" l="1"/>
  <c r="I5" i="3"/>
  <c r="I24" i="7"/>
  <c r="J23" i="7"/>
  <c r="F87" i="7"/>
  <c r="G83" i="7"/>
  <c r="F85" i="7"/>
  <c r="F130" i="6"/>
  <c r="F54" i="6" s="1"/>
  <c r="F55" i="6" s="1"/>
  <c r="F131" i="6"/>
  <c r="F23" i="6" s="1"/>
  <c r="F24" i="6" s="1"/>
  <c r="D131" i="6"/>
  <c r="D23" i="6" s="1"/>
  <c r="D24" i="6" s="1"/>
  <c r="D130" i="6"/>
  <c r="D54" i="6" s="1"/>
  <c r="D55" i="6" s="1"/>
  <c r="G119" i="6"/>
  <c r="E56" i="6"/>
  <c r="F100" i="6"/>
  <c r="H121" i="6"/>
  <c r="H114" i="6"/>
  <c r="H118" i="6" s="1"/>
  <c r="I65" i="3"/>
  <c r="H69" i="3"/>
  <c r="H67" i="3"/>
  <c r="I5" i="6"/>
  <c r="I123" i="6" s="1"/>
  <c r="I126" i="6" s="1"/>
  <c r="J4" i="6"/>
  <c r="I6" i="6"/>
  <c r="H112" i="6"/>
  <c r="H111" i="6"/>
  <c r="G100" i="6"/>
  <c r="H99" i="6"/>
  <c r="J5" i="3" l="1"/>
  <c r="K4" i="3"/>
  <c r="K23" i="7"/>
  <c r="J24" i="7"/>
  <c r="G87" i="7"/>
  <c r="H83" i="7"/>
  <c r="G85" i="7"/>
  <c r="F56" i="6"/>
  <c r="D56" i="6"/>
  <c r="D58" i="6" s="1"/>
  <c r="D64" i="6" s="1"/>
  <c r="E7" i="6" s="1"/>
  <c r="G104" i="6"/>
  <c r="H122" i="6"/>
  <c r="H125" i="6" s="1"/>
  <c r="I121" i="6"/>
  <c r="I122" i="6" s="1"/>
  <c r="I125" i="6" s="1"/>
  <c r="I114" i="6"/>
  <c r="I118" i="6" s="1"/>
  <c r="H113" i="6"/>
  <c r="H117" i="6" s="1"/>
  <c r="H119" i="6" s="1"/>
  <c r="H129" i="6" s="1"/>
  <c r="J65" i="3"/>
  <c r="I69" i="3"/>
  <c r="I67" i="3"/>
  <c r="J6" i="6"/>
  <c r="J5" i="6"/>
  <c r="J123" i="6" s="1"/>
  <c r="J126" i="6" s="1"/>
  <c r="K4" i="6"/>
  <c r="I111" i="6"/>
  <c r="I112" i="6"/>
  <c r="H100" i="6"/>
  <c r="I99" i="6"/>
  <c r="L4" i="3" l="1"/>
  <c r="K5" i="3"/>
  <c r="L23" i="7"/>
  <c r="K24" i="7"/>
  <c r="H85" i="7"/>
  <c r="H87" i="7"/>
  <c r="I83" i="7"/>
  <c r="E58" i="6"/>
  <c r="F58" i="6" s="1"/>
  <c r="H131" i="6"/>
  <c r="H23" i="6" s="1"/>
  <c r="H24" i="6" s="1"/>
  <c r="H130" i="6"/>
  <c r="H54" i="6" s="1"/>
  <c r="H55" i="6" s="1"/>
  <c r="G106" i="6"/>
  <c r="G129" i="6"/>
  <c r="D68" i="6"/>
  <c r="E64" i="6"/>
  <c r="D66" i="6"/>
  <c r="J121" i="6"/>
  <c r="J114" i="6"/>
  <c r="J118" i="6" s="1"/>
  <c r="I113" i="6"/>
  <c r="I117" i="6" s="1"/>
  <c r="I119" i="6" s="1"/>
  <c r="I129" i="6" s="1"/>
  <c r="J69" i="3"/>
  <c r="J67" i="3"/>
  <c r="K65" i="3"/>
  <c r="K6" i="6"/>
  <c r="K5" i="6"/>
  <c r="K123" i="6" s="1"/>
  <c r="K126" i="6" s="1"/>
  <c r="L4" i="6"/>
  <c r="I100" i="6"/>
  <c r="J99" i="6"/>
  <c r="J112" i="6"/>
  <c r="J111" i="6"/>
  <c r="J113" i="6" s="1"/>
  <c r="J117" i="6" s="1"/>
  <c r="L5" i="3" l="1"/>
  <c r="M4" i="3"/>
  <c r="L24" i="7"/>
  <c r="M23" i="7"/>
  <c r="J83" i="7"/>
  <c r="I85" i="7"/>
  <c r="I87" i="7"/>
  <c r="H56" i="6"/>
  <c r="I130" i="6"/>
  <c r="I54" i="6" s="1"/>
  <c r="I55" i="6" s="1"/>
  <c r="I131" i="6"/>
  <c r="I23" i="6" s="1"/>
  <c r="I24" i="6" s="1"/>
  <c r="G130" i="6"/>
  <c r="G54" i="6" s="1"/>
  <c r="G55" i="6" s="1"/>
  <c r="G131" i="6"/>
  <c r="G23" i="6" s="1"/>
  <c r="G24" i="6" s="1"/>
  <c r="J119" i="6"/>
  <c r="E66" i="6"/>
  <c r="F7" i="6"/>
  <c r="F64" i="6"/>
  <c r="E68" i="6"/>
  <c r="K121" i="6"/>
  <c r="K122" i="6" s="1"/>
  <c r="K125" i="6" s="1"/>
  <c r="J122" i="6"/>
  <c r="K114" i="6"/>
  <c r="K67" i="3"/>
  <c r="L65" i="3"/>
  <c r="K69" i="3"/>
  <c r="K111" i="6"/>
  <c r="K112" i="6"/>
  <c r="L5" i="6"/>
  <c r="L123" i="6" s="1"/>
  <c r="L126" i="6" s="1"/>
  <c r="L6" i="6"/>
  <c r="M4" i="6"/>
  <c r="K99" i="6"/>
  <c r="J100" i="6"/>
  <c r="J104" i="6" s="1"/>
  <c r="M5" i="3" l="1"/>
  <c r="N4" i="3"/>
  <c r="M24" i="7"/>
  <c r="N23" i="7"/>
  <c r="J85" i="7"/>
  <c r="J87" i="7"/>
  <c r="K83" i="7"/>
  <c r="G7" i="6"/>
  <c r="F68" i="6"/>
  <c r="F66" i="6"/>
  <c r="G56" i="6"/>
  <c r="G58" i="6" s="1"/>
  <c r="H58" i="6" s="1"/>
  <c r="J106" i="6"/>
  <c r="J129" i="6"/>
  <c r="I56" i="6"/>
  <c r="L121" i="6"/>
  <c r="L122" i="6" s="1"/>
  <c r="L125" i="6" s="1"/>
  <c r="K113" i="6"/>
  <c r="K117" i="6" s="1"/>
  <c r="L114" i="6"/>
  <c r="L118" i="6" s="1"/>
  <c r="L69" i="3"/>
  <c r="L67" i="3"/>
  <c r="M65" i="3"/>
  <c r="M6" i="6"/>
  <c r="M5" i="6"/>
  <c r="M123" i="6" s="1"/>
  <c r="M126" i="6" s="1"/>
  <c r="N4" i="6"/>
  <c r="K100" i="6"/>
  <c r="L99" i="6"/>
  <c r="L112" i="6"/>
  <c r="L111" i="6"/>
  <c r="N5" i="3" l="1"/>
  <c r="O4" i="3"/>
  <c r="O23" i="7"/>
  <c r="N24" i="7"/>
  <c r="K85" i="7"/>
  <c r="K87" i="7"/>
  <c r="L83" i="7"/>
  <c r="G64" i="6"/>
  <c r="H64" i="6" s="1"/>
  <c r="J131" i="6"/>
  <c r="J23" i="6" s="1"/>
  <c r="J24" i="6" s="1"/>
  <c r="J130" i="6"/>
  <c r="J54" i="6" s="1"/>
  <c r="J55" i="6" s="1"/>
  <c r="I58" i="6"/>
  <c r="M121" i="6"/>
  <c r="M122" i="6" s="1"/>
  <c r="L113" i="6"/>
  <c r="L117" i="6" s="1"/>
  <c r="L119" i="6" s="1"/>
  <c r="L129" i="6" s="1"/>
  <c r="N65" i="3"/>
  <c r="M69" i="3"/>
  <c r="M67" i="3"/>
  <c r="L100" i="6"/>
  <c r="M106" i="6" s="1"/>
  <c r="M99" i="6"/>
  <c r="M100" i="6" s="1"/>
  <c r="O4" i="6"/>
  <c r="N5" i="6"/>
  <c r="N123" i="6" s="1"/>
  <c r="N126" i="6" s="1"/>
  <c r="N6" i="6"/>
  <c r="M114" i="6"/>
  <c r="M118" i="6" s="1"/>
  <c r="M112" i="6"/>
  <c r="M111" i="6"/>
  <c r="O5" i="3" l="1"/>
  <c r="P4" i="3"/>
  <c r="O24" i="7"/>
  <c r="P23" i="7"/>
  <c r="L87" i="7"/>
  <c r="M83" i="7"/>
  <c r="L85" i="7"/>
  <c r="H7" i="6"/>
  <c r="G68" i="6"/>
  <c r="G66" i="6"/>
  <c r="L131" i="6"/>
  <c r="L23" i="6" s="1"/>
  <c r="L24" i="6" s="1"/>
  <c r="L130" i="6"/>
  <c r="L54" i="6" s="1"/>
  <c r="L55" i="6" s="1"/>
  <c r="H68" i="6"/>
  <c r="I64" i="6"/>
  <c r="I7" i="6"/>
  <c r="H66" i="6"/>
  <c r="J56" i="6"/>
  <c r="J58" i="6" s="1"/>
  <c r="N121" i="6"/>
  <c r="N122" i="6" s="1"/>
  <c r="N125" i="6" s="1"/>
  <c r="M113" i="6"/>
  <c r="M117" i="6" s="1"/>
  <c r="M119" i="6" s="1"/>
  <c r="M129" i="6" s="1"/>
  <c r="O65" i="3"/>
  <c r="N67" i="3"/>
  <c r="N69" i="3"/>
  <c r="N111" i="6"/>
  <c r="N112" i="6"/>
  <c r="N114" i="6"/>
  <c r="O6" i="6"/>
  <c r="O5" i="6"/>
  <c r="O123" i="6" s="1"/>
  <c r="O126" i="6" s="1"/>
  <c r="P4" i="6"/>
  <c r="P5" i="3" l="1"/>
  <c r="Q4" i="3"/>
  <c r="Q23" i="7"/>
  <c r="P24" i="7"/>
  <c r="M87" i="7"/>
  <c r="N83" i="7"/>
  <c r="M85" i="7"/>
  <c r="M130" i="6"/>
  <c r="M54" i="6" s="1"/>
  <c r="M55" i="6" s="1"/>
  <c r="M131" i="6"/>
  <c r="M23" i="6" s="1"/>
  <c r="M24" i="6" s="1"/>
  <c r="J7" i="6"/>
  <c r="I66" i="6"/>
  <c r="J64" i="6"/>
  <c r="I68" i="6"/>
  <c r="L56" i="6"/>
  <c r="O121" i="6"/>
  <c r="O122" i="6" s="1"/>
  <c r="O125" i="6" s="1"/>
  <c r="O67" i="3"/>
  <c r="O69" i="3"/>
  <c r="N113" i="6"/>
  <c r="N117" i="6" s="1"/>
  <c r="Q4" i="6"/>
  <c r="P5" i="6"/>
  <c r="P123" i="6" s="1"/>
  <c r="P126" i="6" s="1"/>
  <c r="P6" i="6"/>
  <c r="O114" i="6"/>
  <c r="O118" i="6" s="1"/>
  <c r="O112" i="6"/>
  <c r="O111" i="6"/>
  <c r="Q5" i="3" l="1"/>
  <c r="R4" i="3"/>
  <c r="P121" i="6"/>
  <c r="P122" i="6" s="1"/>
  <c r="R23" i="7"/>
  <c r="Q24" i="7"/>
  <c r="N85" i="7"/>
  <c r="N87" i="7"/>
  <c r="O113" i="6"/>
  <c r="O117" i="6" s="1"/>
  <c r="O119" i="6" s="1"/>
  <c r="O129" i="6" s="1"/>
  <c r="J66" i="6"/>
  <c r="K7" i="6"/>
  <c r="J68" i="6"/>
  <c r="M56" i="6"/>
  <c r="P112" i="6"/>
  <c r="P111" i="6"/>
  <c r="P113" i="6" s="1"/>
  <c r="P114" i="6"/>
  <c r="Q5" i="6"/>
  <c r="R4" i="6"/>
  <c r="Q6" i="6"/>
  <c r="Q121" i="6" l="1"/>
  <c r="Q123" i="6" s="1"/>
  <c r="S4" i="3"/>
  <c r="R5" i="3"/>
  <c r="S23" i="7"/>
  <c r="R24" i="7"/>
  <c r="O130" i="6"/>
  <c r="O54" i="6" s="1"/>
  <c r="O55" i="6" s="1"/>
  <c r="O131" i="6"/>
  <c r="O23" i="6" s="1"/>
  <c r="O24" i="6" s="1"/>
  <c r="Q122" i="6"/>
  <c r="Q125" i="6" s="1"/>
  <c r="R6" i="6"/>
  <c r="R5" i="6"/>
  <c r="S4" i="6"/>
  <c r="Q112" i="6"/>
  <c r="Q111" i="6"/>
  <c r="Q114" i="6"/>
  <c r="Q118" i="6" s="1"/>
  <c r="S5" i="3" l="1"/>
  <c r="T4" i="3"/>
  <c r="T23" i="7"/>
  <c r="S24" i="7"/>
  <c r="O56" i="6"/>
  <c r="R121" i="6"/>
  <c r="R123" i="6" s="1"/>
  <c r="Q113" i="6"/>
  <c r="Q117" i="6" s="1"/>
  <c r="Q119" i="6" s="1"/>
  <c r="Q129" i="6" s="1"/>
  <c r="R114" i="6"/>
  <c r="R118" i="6" s="1"/>
  <c r="R111" i="6"/>
  <c r="R112" i="6"/>
  <c r="T4" i="6"/>
  <c r="S5" i="6"/>
  <c r="S123" i="6" s="1"/>
  <c r="S126" i="6" s="1"/>
  <c r="S6" i="6"/>
  <c r="U4" i="3" l="1"/>
  <c r="T5" i="3"/>
  <c r="T24" i="7"/>
  <c r="U23" i="7"/>
  <c r="S121" i="6"/>
  <c r="Q130" i="6"/>
  <c r="Q54" i="6" s="1"/>
  <c r="Q55" i="6" s="1"/>
  <c r="Q131" i="6"/>
  <c r="Q23" i="6" s="1"/>
  <c r="Q24" i="6" s="1"/>
  <c r="R122" i="6"/>
  <c r="R125" i="6" s="1"/>
  <c r="R113" i="6"/>
  <c r="R117" i="6" s="1"/>
  <c r="R119" i="6" s="1"/>
  <c r="R129" i="6" s="1"/>
  <c r="S111" i="6"/>
  <c r="S112" i="6"/>
  <c r="S114" i="6"/>
  <c r="S118" i="6" s="1"/>
  <c r="T5" i="6"/>
  <c r="T123" i="6" s="1"/>
  <c r="T126" i="6" s="1"/>
  <c r="T6" i="6"/>
  <c r="U4" i="6"/>
  <c r="V4" i="3" l="1"/>
  <c r="U5" i="3"/>
  <c r="S122" i="6"/>
  <c r="V23" i="7"/>
  <c r="V24" i="7" s="1"/>
  <c r="U24" i="7"/>
  <c r="Q56" i="6"/>
  <c r="R131" i="6"/>
  <c r="R23" i="6" s="1"/>
  <c r="R24" i="6" s="1"/>
  <c r="R130" i="6"/>
  <c r="R54" i="6" s="1"/>
  <c r="R55" i="6" s="1"/>
  <c r="T121" i="6"/>
  <c r="T122" i="6" s="1"/>
  <c r="T125" i="6" s="1"/>
  <c r="S113" i="6"/>
  <c r="U6" i="6"/>
  <c r="U5" i="6"/>
  <c r="U123" i="6" s="1"/>
  <c r="U126" i="6" s="1"/>
  <c r="V4" i="6"/>
  <c r="T112" i="6"/>
  <c r="T111" i="6"/>
  <c r="T114" i="6"/>
  <c r="T118" i="6" s="1"/>
  <c r="W4" i="3" l="1"/>
  <c r="W5" i="3" s="1"/>
  <c r="V5" i="3"/>
  <c r="R56" i="6"/>
  <c r="U121" i="6"/>
  <c r="T113" i="6"/>
  <c r="T117" i="6" s="1"/>
  <c r="T119" i="6" s="1"/>
  <c r="T129" i="6" s="1"/>
  <c r="V5" i="6"/>
  <c r="V123" i="6" s="1"/>
  <c r="V126" i="6" s="1"/>
  <c r="V6" i="6"/>
  <c r="V121" i="6" s="1"/>
  <c r="V122" i="6" s="1"/>
  <c r="W4" i="6"/>
  <c r="U114" i="6"/>
  <c r="U118" i="6" s="1"/>
  <c r="U111" i="6"/>
  <c r="U112" i="6"/>
  <c r="U122" i="6" l="1"/>
  <c r="U125" i="6" s="1"/>
  <c r="T131" i="6"/>
  <c r="T23" i="6" s="1"/>
  <c r="T24" i="6" s="1"/>
  <c r="T130" i="6"/>
  <c r="T54" i="6" s="1"/>
  <c r="T55" i="6" s="1"/>
  <c r="S117" i="6"/>
  <c r="U113" i="6"/>
  <c r="U117" i="6" s="1"/>
  <c r="U119" i="6" s="1"/>
  <c r="U129" i="6" s="1"/>
  <c r="W5" i="6"/>
  <c r="W123" i="6" s="1"/>
  <c r="W126" i="6" s="1"/>
  <c r="W6" i="6"/>
  <c r="P117" i="6" s="1"/>
  <c r="V112" i="6"/>
  <c r="V111" i="6"/>
  <c r="P118" i="6"/>
  <c r="V114" i="6"/>
  <c r="V118" i="6" s="1"/>
  <c r="U131" i="6" l="1"/>
  <c r="U23" i="6" s="1"/>
  <c r="U24" i="6" s="1"/>
  <c r="U130" i="6"/>
  <c r="U54" i="6" s="1"/>
  <c r="U55" i="6" s="1"/>
  <c r="T56" i="6"/>
  <c r="W121" i="6"/>
  <c r="G125" i="6"/>
  <c r="J125" i="6"/>
  <c r="M125" i="6"/>
  <c r="S125" i="6"/>
  <c r="P125" i="6"/>
  <c r="V113" i="6"/>
  <c r="K118" i="6"/>
  <c r="K119" i="6" s="1"/>
  <c r="K129" i="6" s="1"/>
  <c r="S119" i="6"/>
  <c r="S129" i="6" s="1"/>
  <c r="N118" i="6"/>
  <c r="N119" i="6" s="1"/>
  <c r="N129" i="6" s="1"/>
  <c r="P119" i="6"/>
  <c r="P129" i="6" s="1"/>
  <c r="W112" i="6"/>
  <c r="W111" i="6"/>
  <c r="D110" i="6"/>
  <c r="D109" i="6"/>
  <c r="W114" i="6"/>
  <c r="W122" i="6" l="1"/>
  <c r="W125" i="6" s="1"/>
  <c r="Q126" i="6"/>
  <c r="N130" i="6"/>
  <c r="N54" i="6" s="1"/>
  <c r="N55" i="6" s="1"/>
  <c r="N131" i="6"/>
  <c r="N23" i="6" s="1"/>
  <c r="N24" i="6" s="1"/>
  <c r="K131" i="6"/>
  <c r="K23" i="6" s="1"/>
  <c r="K24" i="6" s="1"/>
  <c r="K130" i="6"/>
  <c r="K54" i="6" s="1"/>
  <c r="K55" i="6" s="1"/>
  <c r="V117" i="6"/>
  <c r="V119" i="6" s="1"/>
  <c r="V129" i="6" s="1"/>
  <c r="U56" i="6"/>
  <c r="S131" i="6"/>
  <c r="S23" i="6" s="1"/>
  <c r="S24" i="6" s="1"/>
  <c r="S130" i="6"/>
  <c r="S54" i="6" s="1"/>
  <c r="S55" i="6" s="1"/>
  <c r="P130" i="6"/>
  <c r="P54" i="6" s="1"/>
  <c r="P131" i="6"/>
  <c r="P23" i="6" s="1"/>
  <c r="P24" i="6" s="1"/>
  <c r="R126" i="6"/>
  <c r="V125" i="6"/>
  <c r="W118" i="6"/>
  <c r="W113" i="6"/>
  <c r="W117" i="6" s="1"/>
  <c r="K56" i="6" l="1"/>
  <c r="K58" i="6" s="1"/>
  <c r="L58" i="6" s="1"/>
  <c r="M58" i="6" s="1"/>
  <c r="W119" i="6"/>
  <c r="W129" i="6" s="1"/>
  <c r="W131" i="6" s="1"/>
  <c r="W23" i="6" s="1"/>
  <c r="W24" i="6" s="1"/>
  <c r="V131" i="6"/>
  <c r="V23" i="6" s="1"/>
  <c r="V24" i="6" s="1"/>
  <c r="V130" i="6"/>
  <c r="V54" i="6" s="1"/>
  <c r="V55" i="6" s="1"/>
  <c r="N56" i="6"/>
  <c r="S56" i="6"/>
  <c r="P55" i="6"/>
  <c r="K64" i="6" l="1"/>
  <c r="L7" i="6" s="1"/>
  <c r="W130" i="6"/>
  <c r="W54" i="6" s="1"/>
  <c r="W55" i="6" s="1"/>
  <c r="W56" i="6" s="1"/>
  <c r="V56" i="6"/>
  <c r="N58" i="6"/>
  <c r="O58" i="6" s="1"/>
  <c r="X23" i="6"/>
  <c r="X24" i="6"/>
  <c r="P56" i="6"/>
  <c r="K68" i="6" l="1"/>
  <c r="L64" i="6"/>
  <c r="L66" i="6" s="1"/>
  <c r="K66" i="6"/>
  <c r="X55" i="6"/>
  <c r="X54" i="6"/>
  <c r="P58" i="6"/>
  <c r="Q58" i="6" s="1"/>
  <c r="R58" i="6" s="1"/>
  <c r="S58" i="6" s="1"/>
  <c r="T58" i="6" s="1"/>
  <c r="U58" i="6" s="1"/>
  <c r="V58" i="6" s="1"/>
  <c r="W58" i="6" s="1"/>
  <c r="M64" i="6" l="1"/>
  <c r="M66" i="6" s="1"/>
  <c r="M7" i="6"/>
  <c r="L68" i="6"/>
  <c r="M68" i="6" l="1"/>
  <c r="N7" i="6"/>
  <c r="N64" i="6"/>
  <c r="O64" i="6" s="1"/>
  <c r="N66" i="6" l="1"/>
  <c r="O7" i="6"/>
  <c r="N68" i="6"/>
  <c r="O68" i="6"/>
  <c r="P7" i="6"/>
  <c r="O66" i="6"/>
  <c r="P64" i="6"/>
  <c r="Q64" i="6" l="1"/>
  <c r="P66" i="6"/>
  <c r="Q7" i="6"/>
  <c r="P68" i="6"/>
  <c r="R64" i="6" l="1"/>
  <c r="Q68" i="6"/>
  <c r="Q66" i="6"/>
  <c r="R7" i="6"/>
  <c r="S7" i="6" l="1"/>
  <c r="R68" i="6"/>
  <c r="S64" i="6"/>
  <c r="R66" i="6"/>
  <c r="T7" i="6" l="1"/>
  <c r="S68" i="6"/>
  <c r="S66" i="6"/>
  <c r="T64" i="6"/>
  <c r="T66" i="6" l="1"/>
  <c r="U7" i="6"/>
  <c r="U64" i="6"/>
  <c r="T68" i="6"/>
  <c r="V7" i="6" l="1"/>
  <c r="U68" i="6"/>
  <c r="V64" i="6"/>
  <c r="U66" i="6"/>
  <c r="V68" i="6" l="1"/>
  <c r="W64" i="6"/>
  <c r="W7" i="6"/>
  <c r="V66" i="6"/>
  <c r="W68" i="6" l="1"/>
  <c r="W66" i="6"/>
</calcChain>
</file>

<file path=xl/comments1.xml><?xml version="1.0" encoding="utf-8"?>
<comments xmlns="http://schemas.openxmlformats.org/spreadsheetml/2006/main">
  <authors>
    <author>Angelique TESSIER</author>
  </authors>
  <commentList>
    <comment ref="L22" authorId="0">
      <text>
        <r>
          <rPr>
            <sz val="12"/>
            <color indexed="81"/>
            <rFont val="Tahoma"/>
            <family val="2"/>
          </rPr>
          <t xml:space="preserve">Indiquer le montant (estimation) de la TVA sur la première partie de l'année avant la date de début du plan de trésorerie. 
Exemple : vous démarrez en mai 2021. Indiquez dans cette case le montant de la TVA de janvier à avril.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Angelique TESSIER</author>
  </authors>
  <commentList>
    <comment ref="L3" authorId="0">
      <text>
        <r>
          <rPr>
            <sz val="12"/>
            <color indexed="81"/>
            <rFont val="Tahoma"/>
            <family val="2"/>
          </rPr>
          <t xml:space="preserve">Indiquer le montant (estimation) de la TVA sur la première partie de l'année avant la date de début du plan de trésorerie. 
Exemple : vous démarrez en mai 2021. Indiquez dans cette case le montant de la TVA de janvier à avril.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>
      <text>
        <r>
          <rPr>
            <sz val="12"/>
            <color indexed="81"/>
            <rFont val="Tahoma"/>
            <family val="2"/>
          </rPr>
          <t>Ligne à compléter si vous avez fait le choix type de déclaration : "acompte TVA manuelle" ou si vous souhaitez faire des ajustements sur la TVA calculer (voir onglet Tréso TTC)</t>
        </r>
      </text>
    </comment>
    <comment ref="B52" authorId="0">
      <text>
        <r>
          <rPr>
            <sz val="11"/>
            <color indexed="81"/>
            <rFont val="Tahoma"/>
            <family val="2"/>
          </rPr>
          <t>Ligne à compléter si vous avez fait le choix type de déclaration : "acompte TVA manuelle" ou si vous souhaitez faire des ajustements sur la TVA calculer (voir onglet Tréso TTC)</t>
        </r>
      </text>
    </comment>
  </commentList>
</comments>
</file>

<file path=xl/comments3.xml><?xml version="1.0" encoding="utf-8"?>
<comments xmlns="http://schemas.openxmlformats.org/spreadsheetml/2006/main">
  <authors>
    <author>Angelique TESSIER</author>
  </authors>
  <commentList>
    <comment ref="D65" authorId="0">
      <text>
        <r>
          <rPr>
            <sz val="11"/>
            <color indexed="81"/>
            <rFont val="Calibri"/>
            <family val="2"/>
          </rPr>
          <t>indiquez le montant de l'OCCC (en négatif)</t>
        </r>
      </text>
    </comment>
  </commentList>
</comments>
</file>

<file path=xl/sharedStrings.xml><?xml version="1.0" encoding="utf-8"?>
<sst xmlns="http://schemas.openxmlformats.org/spreadsheetml/2006/main" count="465" uniqueCount="147">
  <si>
    <t>PLAN DE TRESORERIE</t>
  </si>
  <si>
    <t>MARS</t>
  </si>
  <si>
    <t>AVRIL</t>
  </si>
  <si>
    <t>MAI</t>
  </si>
  <si>
    <t>JUIN</t>
  </si>
  <si>
    <t>JUILLET</t>
  </si>
  <si>
    <t>SEPTEMBRE</t>
  </si>
  <si>
    <t>OCTOBRE</t>
  </si>
  <si>
    <t>NOVEMBRE</t>
  </si>
  <si>
    <t>DÉCEMBRE</t>
  </si>
  <si>
    <t>JANVIER</t>
  </si>
  <si>
    <t>FÉVRIER</t>
  </si>
  <si>
    <t>TOTAL</t>
  </si>
  <si>
    <t>Solde en début de mois (1)</t>
  </si>
  <si>
    <t>Encaissements</t>
  </si>
  <si>
    <t xml:space="preserve">  Emprunts LMT contractés</t>
  </si>
  <si>
    <t xml:space="preserve">  Cession d'immobilisations</t>
  </si>
  <si>
    <t>TOTAL(2)</t>
  </si>
  <si>
    <t>Décaissements</t>
  </si>
  <si>
    <t>TOTAL (3)</t>
  </si>
  <si>
    <t>Solde 2 - 3</t>
  </si>
  <si>
    <t>OCCC (limitée à 1mois de CA)</t>
  </si>
  <si>
    <t xml:space="preserve"> 3) Besoin de trésorerie</t>
  </si>
  <si>
    <t>4 ) Excédent de trésorerie</t>
  </si>
  <si>
    <t>Placement possible</t>
  </si>
  <si>
    <t>Déblocage CT de trésorerie</t>
  </si>
  <si>
    <t xml:space="preserve">Remboursement CT de trésorerie </t>
  </si>
  <si>
    <t>Trésorerie cumulé fin de mois</t>
  </si>
  <si>
    <t>Trésorerie manquante</t>
  </si>
  <si>
    <t xml:space="preserve">  Remboursement TVA</t>
  </si>
  <si>
    <t>carburants</t>
  </si>
  <si>
    <t>entretien Matériels et outillages</t>
  </si>
  <si>
    <t>Assurances</t>
  </si>
  <si>
    <t>Impôts et taxes</t>
  </si>
  <si>
    <t>Frais bancaires</t>
  </si>
  <si>
    <t>Charges MSA</t>
  </si>
  <si>
    <t>Remboursements d'emprunts</t>
  </si>
  <si>
    <t>Prélèvements Privés</t>
  </si>
  <si>
    <t>Investissement en Immobilisation</t>
  </si>
  <si>
    <t>distillation</t>
  </si>
  <si>
    <t>divers gestion commercialisation</t>
  </si>
  <si>
    <t xml:space="preserve">vin negoce </t>
  </si>
  <si>
    <t>AOUT</t>
  </si>
  <si>
    <t>vins détails + marge achat vente</t>
  </si>
  <si>
    <t>subvention plantation</t>
  </si>
  <si>
    <t>Date début</t>
  </si>
  <si>
    <t>eau+EDF</t>
  </si>
  <si>
    <t>Achat appros (engrais, semences, traitements…)</t>
  </si>
  <si>
    <t>fermage et location diverse</t>
  </si>
  <si>
    <t>abonnement (tél, …)</t>
  </si>
  <si>
    <t>conditionnement (bouteille, étiquette, coiffe…)</t>
  </si>
  <si>
    <t>honoraire (compta…)</t>
  </si>
  <si>
    <t>analyse(vin, sol…) - œnologue - tiers vinif</t>
  </si>
  <si>
    <t>fournitures divers</t>
  </si>
  <si>
    <t>prestation / travaux par tiers</t>
  </si>
  <si>
    <t>salaires permanent et saisonniers</t>
  </si>
  <si>
    <t>TVA (Acompte, solde)</t>
  </si>
  <si>
    <t>prestation</t>
  </si>
  <si>
    <t>Solde fin de mois avant CT</t>
  </si>
  <si>
    <t>% tva</t>
  </si>
  <si>
    <t>mout</t>
  </si>
  <si>
    <t>raisin</t>
  </si>
  <si>
    <t xml:space="preserve">achat appros en agriculture biologique </t>
  </si>
  <si>
    <t>à compléter en HT</t>
  </si>
  <si>
    <t>Donnée en TTC</t>
  </si>
  <si>
    <t>Montant de la TVA dû sur N-1</t>
  </si>
  <si>
    <t>TVA collecté (sur vente)</t>
  </si>
  <si>
    <t>TVA Déductible (sur achat)</t>
  </si>
  <si>
    <t>OCCC (autorisation de découvert)</t>
  </si>
  <si>
    <t>Les cases en jaunes peuvent être modifiées</t>
  </si>
  <si>
    <t>Type TVA</t>
  </si>
  <si>
    <t>TVA CA3 (déclaration trimestrielle)</t>
  </si>
  <si>
    <t>TVA CA3 (déclaration mensuelle)</t>
  </si>
  <si>
    <t>type de déclaration TVA :</t>
  </si>
  <si>
    <t>Montant de la TVA sur l'année N avant le plan de trésorerie</t>
  </si>
  <si>
    <t>TVA Acompte</t>
  </si>
  <si>
    <t>TVA due mensuelle cumul</t>
  </si>
  <si>
    <t>TVA due réelle trimestrielle</t>
  </si>
  <si>
    <t>TVA due réelle mensuelle négatif à 0</t>
  </si>
  <si>
    <t>TOTAL Encaissement (2)</t>
  </si>
  <si>
    <t>TOTAL Décaissement (3)</t>
  </si>
  <si>
    <t>TVA RSA - solde exerce comptable  (acompte)</t>
  </si>
  <si>
    <t>TVA RSA - solde en mai  (acompte)</t>
  </si>
  <si>
    <t>TVA année 1</t>
  </si>
  <si>
    <t>TVA année 2</t>
  </si>
  <si>
    <t>Semences</t>
  </si>
  <si>
    <t>terme acompte 1 à 2</t>
  </si>
  <si>
    <t>terme acompte 2 à 3</t>
  </si>
  <si>
    <t>cumul terme acompte</t>
  </si>
  <si>
    <t>terme solde</t>
  </si>
  <si>
    <t>date exercie comptable du</t>
  </si>
  <si>
    <t>au</t>
  </si>
  <si>
    <t>montant acompte (année civil)</t>
  </si>
  <si>
    <t>montant solde (année civil)</t>
  </si>
  <si>
    <t>montant acompte (année comptable)</t>
  </si>
  <si>
    <t>montant solde (année comptable</t>
  </si>
  <si>
    <t>TOTAL Décaissements (3)</t>
  </si>
  <si>
    <t>acompte TVA manuelle</t>
  </si>
  <si>
    <t>Cession d'immobilisations</t>
  </si>
  <si>
    <t>Emprunts LMT contractés</t>
  </si>
  <si>
    <t>Raisin</t>
  </si>
  <si>
    <t>Mout</t>
  </si>
  <si>
    <t xml:space="preserve">Vin negoce </t>
  </si>
  <si>
    <t>Vins détails + marge achat vente</t>
  </si>
  <si>
    <t>Distillation</t>
  </si>
  <si>
    <t>Prestation</t>
  </si>
  <si>
    <t>Achat appros (engrais, traitements…)</t>
  </si>
  <si>
    <t>Conditionnement (bouteille, étiquette, coiffe…)</t>
  </si>
  <si>
    <t>Analyse(vin, sol…) - œnologue - tiers vinif</t>
  </si>
  <si>
    <t>Carburants</t>
  </si>
  <si>
    <t>Eau+EDF</t>
  </si>
  <si>
    <t>Fermage et location diverse</t>
  </si>
  <si>
    <t>Entretien Matériels et outillages</t>
  </si>
  <si>
    <t>Abonnement (tél, …)</t>
  </si>
  <si>
    <t>Honoraire (compta…)</t>
  </si>
  <si>
    <t>Divers gestion commercialisation</t>
  </si>
  <si>
    <t>Fournitures divers</t>
  </si>
  <si>
    <t>Prestation / travaux par tiers</t>
  </si>
  <si>
    <t>Salaires permanent et saisonniers</t>
  </si>
  <si>
    <t>année1</t>
  </si>
  <si>
    <t>différence TVA Collecté et déductible</t>
  </si>
  <si>
    <t>différence TVA Collecté et déductible sans invesstissemnt pour acompte</t>
  </si>
  <si>
    <r>
      <t xml:space="preserve">Remboursement TVA  </t>
    </r>
    <r>
      <rPr>
        <sz val="10"/>
        <rFont val="Arial"/>
        <family val="2"/>
      </rPr>
      <t xml:space="preserve"> </t>
    </r>
    <r>
      <rPr>
        <i/>
        <sz val="10"/>
        <color theme="5"/>
        <rFont val="Arial"/>
        <family val="2"/>
      </rPr>
      <t>à compléter si choix "acompte TVA manuelle"</t>
    </r>
  </si>
  <si>
    <r>
      <t xml:space="preserve">TVA (Acompte, solde)   </t>
    </r>
    <r>
      <rPr>
        <i/>
        <sz val="10"/>
        <color theme="5"/>
        <rFont val="Arial"/>
        <family val="2"/>
      </rPr>
      <t>à compléter si choix "acompte TVA manuelle"</t>
    </r>
  </si>
  <si>
    <t>Remboursement TVA (calculé)</t>
  </si>
  <si>
    <t>TVA acompte et solde (calculé)</t>
  </si>
  <si>
    <t>Total TVA à payer</t>
  </si>
  <si>
    <t>Total Remboursement de TVA</t>
  </si>
  <si>
    <t>Total TVA</t>
  </si>
  <si>
    <t>TVA RSA solde mai -&gt; montant acompte+solde</t>
  </si>
  <si>
    <t>TVA RSA solde exercie -&gt; montant acompte + solde</t>
  </si>
  <si>
    <t>Récapitulatif TVA :</t>
  </si>
  <si>
    <t>Détail mensuel :</t>
  </si>
  <si>
    <r>
      <rPr>
        <b/>
        <sz val="11"/>
        <color rgb="FF01973E"/>
        <rFont val="Wingdings"/>
        <charset val="2"/>
      </rPr>
      <t>Ä</t>
    </r>
    <r>
      <rPr>
        <b/>
        <sz val="11"/>
        <color rgb="FF01973E"/>
        <rFont val="Arial"/>
        <family val="2"/>
      </rPr>
      <t>Si choix TVA CA3 (déclaration mensuelle)</t>
    </r>
  </si>
  <si>
    <r>
      <rPr>
        <b/>
        <sz val="11"/>
        <color rgb="FF01973E"/>
        <rFont val="Wingdings"/>
        <charset val="2"/>
      </rPr>
      <t>Ä</t>
    </r>
    <r>
      <rPr>
        <b/>
        <sz val="11"/>
        <color rgb="FF01973E"/>
        <rFont val="Arial"/>
        <family val="2"/>
      </rPr>
      <t>Si choix TVA CA3 (déclaration trimestrielle)</t>
    </r>
  </si>
  <si>
    <r>
      <rPr>
        <b/>
        <sz val="11"/>
        <color rgb="FF01973E"/>
        <rFont val="Wingdings"/>
        <charset val="2"/>
      </rPr>
      <t>Ä</t>
    </r>
    <r>
      <rPr>
        <b/>
        <sz val="11"/>
        <color rgb="FF01973E"/>
        <rFont val="Arial"/>
        <family val="2"/>
      </rPr>
      <t>Si choix TVA RSA - solde en mai  (acompte)</t>
    </r>
  </si>
  <si>
    <r>
      <rPr>
        <b/>
        <sz val="11"/>
        <color rgb="FF01973E"/>
        <rFont val="Wingdings"/>
        <charset val="2"/>
      </rPr>
      <t>Ä</t>
    </r>
    <r>
      <rPr>
        <b/>
        <sz val="11"/>
        <color rgb="FF01973E"/>
        <rFont val="Arial"/>
        <family val="2"/>
      </rPr>
      <t>Si choix TVA RSA - solde exerce comptable  (acompte)</t>
    </r>
  </si>
  <si>
    <t xml:space="preserve">PLAN DE TRESORERIE </t>
  </si>
  <si>
    <t>ONGLET Tréso HT</t>
  </si>
  <si>
    <t>-&gt; en choisissant cette option la TVA ne sera pas calculée, vous devrez la saisir</t>
  </si>
  <si>
    <t>mai 21</t>
  </si>
  <si>
    <t/>
  </si>
  <si>
    <t>Remboursement TVA   à compléter si choix "acompte TVA manuelle"</t>
  </si>
  <si>
    <t>TVA (Acompte, solde)   à compléter si choix "acompte TVA manuelle"</t>
  </si>
  <si>
    <t>CT OK</t>
  </si>
  <si>
    <t>…</t>
  </si>
  <si>
    <t>Subventions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</si>
</sst>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 mmmm\ yyyy"/>
    <numFmt numFmtId="165" formatCode="#,##0_ ;[Red]\-#,##0\ "/>
    <numFmt numFmtId="166" formatCode="[$-40C]d\-mmm\-yy;@"/>
    <numFmt numFmtId="167" formatCode="[$-40C]mmm\-yy;@"/>
  </numFmts>
  <fonts count="3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color indexed="81"/>
      <name val="Calibri"/>
      <family val="2"/>
    </font>
    <font>
      <sz val="13"/>
      <color indexed="16"/>
      <name val="Arial"/>
      <family val="2"/>
    </font>
    <font>
      <b/>
      <u/>
      <sz val="16"/>
      <name val="Arial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i/>
      <sz val="10"/>
      <color theme="5"/>
      <name val="Arial"/>
      <family val="2"/>
    </font>
    <font>
      <sz val="11"/>
      <color indexed="81"/>
      <name val="Tahoma"/>
      <family val="2"/>
    </font>
    <font>
      <b/>
      <sz val="11"/>
      <color rgb="FF01973E"/>
      <name val="Arial"/>
      <family val="2"/>
    </font>
    <font>
      <b/>
      <sz val="11"/>
      <color rgb="FF01973E"/>
      <name val="Wingdings"/>
      <charset val="2"/>
    </font>
    <font>
      <b/>
      <sz val="14"/>
      <color theme="0" tint="-4.9989318521683403E-2"/>
      <name val="Arial"/>
      <family val="2"/>
    </font>
    <font>
      <b/>
      <sz val="9"/>
      <color theme="0" tint="-4.9989318521683403E-2"/>
      <name val="Arial"/>
      <family val="2"/>
    </font>
    <font>
      <b/>
      <u/>
      <sz val="18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0CA1C"/>
        <bgColor indexed="64"/>
      </patternFill>
    </fill>
    <fill>
      <patternFill patternType="solid">
        <fgColor rgb="FFB4E6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973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2" fillId="0" borderId="0" xfId="0" applyFont="1" applyFill="1" applyProtection="1"/>
    <xf numFmtId="0" fontId="2" fillId="0" borderId="0" xfId="0" applyFont="1" applyFill="1" applyAlignment="1" applyProtection="1"/>
    <xf numFmtId="0" fontId="4" fillId="0" borderId="0" xfId="0" applyFont="1" applyFill="1" applyAlignment="1" applyProtection="1">
      <alignment horizontal="right"/>
    </xf>
    <xf numFmtId="3" fontId="3" fillId="0" borderId="0" xfId="0" applyNumberFormat="1" applyFont="1" applyFill="1" applyAlignment="1" applyProtection="1"/>
    <xf numFmtId="3" fontId="2" fillId="0" borderId="0" xfId="0" applyNumberFormat="1" applyFont="1" applyFill="1" applyProtection="1"/>
    <xf numFmtId="3" fontId="1" fillId="0" borderId="1" xfId="0" applyNumberFormat="1" applyFont="1" applyFill="1" applyBorder="1" applyProtection="1"/>
    <xf numFmtId="3" fontId="1" fillId="0" borderId="2" xfId="0" applyNumberFormat="1" applyFont="1" applyFill="1" applyBorder="1" applyProtection="1"/>
    <xf numFmtId="3" fontId="3" fillId="0" borderId="0" xfId="0" applyNumberFormat="1" applyFont="1" applyFill="1" applyAlignment="1" applyProtection="1">
      <alignment horizontal="centerContinuous"/>
    </xf>
    <xf numFmtId="0" fontId="2" fillId="0" borderId="1" xfId="0" applyFont="1" applyFill="1" applyBorder="1" applyProtection="1"/>
    <xf numFmtId="164" fontId="5" fillId="2" borderId="0" xfId="0" applyNumberFormat="1" applyFont="1" applyFill="1" applyProtection="1"/>
    <xf numFmtId="3" fontId="5" fillId="2" borderId="3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Protection="1"/>
    <xf numFmtId="3" fontId="6" fillId="0" borderId="0" xfId="0" applyNumberFormat="1" applyFont="1" applyFill="1" applyAlignment="1" applyProtection="1">
      <alignment horizontal="centerContinuous"/>
    </xf>
    <xf numFmtId="0" fontId="7" fillId="0" borderId="3" xfId="0" applyFont="1" applyFill="1" applyBorder="1" applyAlignment="1" applyProtection="1">
      <alignment horizontal="right"/>
    </xf>
    <xf numFmtId="0" fontId="8" fillId="0" borderId="4" xfId="0" applyFont="1" applyFill="1" applyBorder="1" applyProtection="1"/>
    <xf numFmtId="0" fontId="9" fillId="0" borderId="4" xfId="0" applyFont="1" applyFill="1" applyBorder="1" applyAlignment="1" applyProtection="1">
      <alignment horizontal="center"/>
    </xf>
    <xf numFmtId="0" fontId="9" fillId="0" borderId="4" xfId="0" applyFont="1" applyFill="1" applyBorder="1" applyProtection="1"/>
    <xf numFmtId="0" fontId="7" fillId="0" borderId="4" xfId="0" applyFont="1" applyFill="1" applyBorder="1" applyAlignment="1" applyProtection="1">
      <alignment horizontal="right"/>
    </xf>
    <xf numFmtId="0" fontId="2" fillId="0" borderId="3" xfId="0" applyFont="1" applyFill="1" applyBorder="1" applyProtection="1"/>
    <xf numFmtId="0" fontId="10" fillId="0" borderId="3" xfId="0" applyFont="1" applyFill="1" applyBorder="1" applyProtection="1"/>
    <xf numFmtId="3" fontId="11" fillId="0" borderId="3" xfId="0" applyNumberFormat="1" applyFont="1" applyFill="1" applyBorder="1" applyProtection="1"/>
    <xf numFmtId="0" fontId="11" fillId="0" borderId="3" xfId="0" applyFont="1" applyFill="1" applyBorder="1" applyProtection="1"/>
    <xf numFmtId="3" fontId="12" fillId="0" borderId="3" xfId="0" applyNumberFormat="1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right"/>
    </xf>
    <xf numFmtId="165" fontId="11" fillId="3" borderId="3" xfId="0" applyNumberFormat="1" applyFont="1" applyFill="1" applyBorder="1" applyProtection="1"/>
    <xf numFmtId="0" fontId="10" fillId="3" borderId="3" xfId="0" applyFont="1" applyFill="1" applyBorder="1" applyAlignment="1" applyProtection="1">
      <alignment horizontal="right"/>
    </xf>
    <xf numFmtId="3" fontId="11" fillId="3" borderId="3" xfId="0" applyNumberFormat="1" applyFont="1" applyFill="1" applyBorder="1" applyProtection="1"/>
    <xf numFmtId="165" fontId="10" fillId="4" borderId="3" xfId="0" applyNumberFormat="1" applyFont="1" applyFill="1" applyBorder="1" applyProtection="1"/>
    <xf numFmtId="3" fontId="10" fillId="3" borderId="3" xfId="0" applyNumberFormat="1" applyFont="1" applyFill="1" applyBorder="1" applyProtection="1"/>
    <xf numFmtId="0" fontId="10" fillId="4" borderId="3" xfId="0" applyFont="1" applyFill="1" applyBorder="1" applyAlignment="1" applyProtection="1">
      <alignment horizontal="right"/>
    </xf>
    <xf numFmtId="0" fontId="8" fillId="0" borderId="4" xfId="0" applyFont="1" applyFill="1" applyBorder="1" applyAlignment="1" applyProtection="1">
      <alignment horizontal="left"/>
    </xf>
    <xf numFmtId="0" fontId="10" fillId="3" borderId="3" xfId="0" applyFont="1" applyFill="1" applyBorder="1" applyAlignment="1" applyProtection="1">
      <alignment horizontal="center"/>
    </xf>
    <xf numFmtId="3" fontId="11" fillId="5" borderId="3" xfId="0" applyNumberFormat="1" applyFont="1" applyFill="1" applyBorder="1" applyProtection="1">
      <protection locked="0"/>
    </xf>
    <xf numFmtId="0" fontId="2" fillId="0" borderId="0" xfId="0" applyFont="1" applyFill="1" applyAlignment="1" applyProtection="1">
      <alignment horizontal="right"/>
    </xf>
    <xf numFmtId="3" fontId="11" fillId="6" borderId="3" xfId="0" applyNumberFormat="1" applyFont="1" applyFill="1" applyBorder="1" applyProtection="1"/>
    <xf numFmtId="0" fontId="2" fillId="0" borderId="0" xfId="0" applyFont="1" applyFill="1" applyAlignment="1" applyProtection="1">
      <alignment horizontal="center"/>
    </xf>
    <xf numFmtId="3" fontId="2" fillId="0" borderId="0" xfId="0" applyNumberFormat="1" applyFont="1" applyFill="1" applyProtection="1">
      <protection locked="0"/>
    </xf>
    <xf numFmtId="3" fontId="4" fillId="0" borderId="0" xfId="0" applyNumberFormat="1" applyFont="1" applyFill="1" applyAlignment="1" applyProtection="1"/>
    <xf numFmtId="0" fontId="5" fillId="0" borderId="1" xfId="0" applyFont="1" applyFill="1" applyBorder="1" applyProtection="1"/>
    <xf numFmtId="0" fontId="5" fillId="2" borderId="5" xfId="0" applyNumberFormat="1" applyFont="1" applyFill="1" applyBorder="1" applyAlignment="1" applyProtection="1">
      <alignment horizontal="center"/>
    </xf>
    <xf numFmtId="0" fontId="5" fillId="2" borderId="7" xfId="0" applyNumberFormat="1" applyFont="1" applyFill="1" applyBorder="1" applyAlignment="1" applyProtection="1">
      <alignment horizontal="center"/>
    </xf>
    <xf numFmtId="0" fontId="8" fillId="6" borderId="4" xfId="0" applyFont="1" applyFill="1" applyBorder="1" applyProtection="1"/>
    <xf numFmtId="0" fontId="8" fillId="6" borderId="0" xfId="0" applyFont="1" applyFill="1" applyBorder="1" applyProtection="1"/>
    <xf numFmtId="0" fontId="2" fillId="6" borderId="0" xfId="0" applyFont="1" applyFill="1" applyProtection="1"/>
    <xf numFmtId="0" fontId="15" fillId="0" borderId="0" xfId="0" applyFont="1" applyFill="1" applyProtection="1"/>
    <xf numFmtId="0" fontId="15" fillId="0" borderId="0" xfId="0" applyFont="1" applyFill="1" applyAlignment="1" applyProtection="1">
      <alignment horizontal="right"/>
    </xf>
    <xf numFmtId="0" fontId="16" fillId="0" borderId="0" xfId="0" applyFont="1" applyFill="1" applyAlignment="1" applyProtection="1">
      <alignment horizontal="right"/>
    </xf>
    <xf numFmtId="164" fontId="16" fillId="2" borderId="0" xfId="0" applyNumberFormat="1" applyFont="1" applyFill="1" applyProtection="1"/>
    <xf numFmtId="0" fontId="16" fillId="0" borderId="7" xfId="0" applyFont="1" applyFill="1" applyBorder="1" applyAlignment="1" applyProtection="1">
      <alignment horizontal="right"/>
    </xf>
    <xf numFmtId="0" fontId="17" fillId="0" borderId="4" xfId="0" applyFont="1" applyFill="1" applyBorder="1" applyAlignment="1" applyProtection="1">
      <alignment horizontal="center"/>
    </xf>
    <xf numFmtId="0" fontId="15" fillId="0" borderId="4" xfId="0" applyFont="1" applyFill="1" applyBorder="1" applyAlignment="1" applyProtection="1">
      <alignment horizontal="left"/>
    </xf>
    <xf numFmtId="0" fontId="16" fillId="0" borderId="3" xfId="0" applyFont="1" applyFill="1" applyBorder="1" applyProtection="1"/>
    <xf numFmtId="0" fontId="16" fillId="0" borderId="3" xfId="0" applyFont="1" applyFill="1" applyBorder="1" applyAlignment="1" applyProtection="1">
      <alignment horizontal="right"/>
    </xf>
    <xf numFmtId="0" fontId="15" fillId="0" borderId="3" xfId="0" applyFont="1" applyFill="1" applyBorder="1" applyProtection="1"/>
    <xf numFmtId="0" fontId="2" fillId="6" borderId="0" xfId="0" applyFont="1" applyFill="1" applyAlignment="1" applyProtection="1">
      <alignment horizontal="center"/>
    </xf>
    <xf numFmtId="164" fontId="4" fillId="2" borderId="0" xfId="0" applyNumberFormat="1" applyFont="1" applyFill="1" applyProtection="1"/>
    <xf numFmtId="0" fontId="4" fillId="0" borderId="7" xfId="0" applyFont="1" applyFill="1" applyBorder="1" applyAlignment="1" applyProtection="1">
      <alignment horizontal="right"/>
    </xf>
    <xf numFmtId="0" fontId="3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right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right"/>
    </xf>
    <xf numFmtId="0" fontId="4" fillId="3" borderId="3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right"/>
    </xf>
    <xf numFmtId="0" fontId="4" fillId="4" borderId="3" xfId="0" applyFont="1" applyFill="1" applyBorder="1" applyAlignment="1" applyProtection="1">
      <alignment horizontal="right"/>
    </xf>
    <xf numFmtId="3" fontId="8" fillId="5" borderId="7" xfId="0" applyNumberFormat="1" applyFont="1" applyFill="1" applyBorder="1" applyProtection="1">
      <protection locked="0"/>
    </xf>
    <xf numFmtId="3" fontId="8" fillId="0" borderId="5" xfId="0" applyNumberFormat="1" applyFont="1" applyFill="1" applyBorder="1" applyProtection="1">
      <protection locked="0"/>
    </xf>
    <xf numFmtId="3" fontId="8" fillId="0" borderId="2" xfId="0" applyNumberFormat="1" applyFont="1" applyFill="1" applyBorder="1" applyProtection="1">
      <protection locked="0"/>
    </xf>
    <xf numFmtId="0" fontId="8" fillId="0" borderId="1" xfId="0" applyFont="1" applyFill="1" applyBorder="1" applyProtection="1"/>
    <xf numFmtId="3" fontId="8" fillId="0" borderId="1" xfId="0" applyNumberFormat="1" applyFont="1" applyFill="1" applyBorder="1" applyProtection="1">
      <protection locked="0"/>
    </xf>
    <xf numFmtId="3" fontId="8" fillId="5" borderId="3" xfId="0" applyNumberFormat="1" applyFont="1" applyFill="1" applyBorder="1" applyProtection="1">
      <protection locked="0"/>
    </xf>
    <xf numFmtId="3" fontId="19" fillId="5" borderId="3" xfId="0" applyNumberFormat="1" applyFont="1" applyFill="1" applyBorder="1" applyProtection="1">
      <protection locked="0"/>
    </xf>
    <xf numFmtId="3" fontId="8" fillId="0" borderId="3" xfId="0" applyNumberFormat="1" applyFont="1" applyFill="1" applyBorder="1" applyProtection="1"/>
    <xf numFmtId="3" fontId="8" fillId="0" borderId="3" xfId="0" applyNumberFormat="1" applyFont="1" applyFill="1" applyBorder="1" applyProtection="1">
      <protection locked="0"/>
    </xf>
    <xf numFmtId="3" fontId="8" fillId="0" borderId="0" xfId="0" applyNumberFormat="1" applyFont="1" applyFill="1" applyBorder="1" applyProtection="1"/>
    <xf numFmtId="3" fontId="7" fillId="3" borderId="8" xfId="0" applyNumberFormat="1" applyFont="1" applyFill="1" applyBorder="1" applyProtection="1"/>
    <xf numFmtId="0" fontId="8" fillId="0" borderId="2" xfId="0" applyFont="1" applyFill="1" applyBorder="1" applyProtection="1"/>
    <xf numFmtId="0" fontId="8" fillId="0" borderId="5" xfId="0" applyFont="1" applyFill="1" applyBorder="1" applyProtection="1"/>
    <xf numFmtId="3" fontId="7" fillId="0" borderId="0" xfId="0" applyNumberFormat="1" applyFont="1" applyFill="1" applyAlignment="1" applyProtection="1"/>
    <xf numFmtId="3" fontId="9" fillId="0" borderId="0" xfId="0" applyNumberFormat="1" applyFont="1" applyFill="1" applyAlignment="1" applyProtection="1"/>
    <xf numFmtId="3" fontId="9" fillId="0" borderId="0" xfId="0" applyNumberFormat="1" applyFont="1" applyFill="1" applyAlignment="1" applyProtection="1">
      <alignment horizontal="centerContinuous"/>
    </xf>
    <xf numFmtId="0" fontId="8" fillId="0" borderId="0" xfId="0" applyFont="1" applyFill="1" applyAlignment="1" applyProtection="1"/>
    <xf numFmtId="3" fontId="8" fillId="0" borderId="0" xfId="0" applyNumberFormat="1" applyFont="1" applyFill="1" applyProtection="1">
      <protection locked="0"/>
    </xf>
    <xf numFmtId="3" fontId="8" fillId="0" borderId="0" xfId="0" applyNumberFormat="1" applyFont="1"/>
    <xf numFmtId="0" fontId="8" fillId="0" borderId="0" xfId="0" applyFont="1" applyFill="1" applyProtection="1"/>
    <xf numFmtId="166" fontId="7" fillId="5" borderId="0" xfId="0" applyNumberFormat="1" applyFont="1" applyFill="1" applyProtection="1">
      <protection locked="0"/>
    </xf>
    <xf numFmtId="3" fontId="8" fillId="0" borderId="0" xfId="0" applyNumberFormat="1" applyFont="1" applyFill="1" applyAlignment="1" applyProtection="1">
      <alignment horizontal="right"/>
      <protection locked="0"/>
    </xf>
    <xf numFmtId="3" fontId="8" fillId="0" borderId="0" xfId="0" applyNumberFormat="1" applyFont="1" applyFill="1" applyProtection="1"/>
    <xf numFmtId="0" fontId="7" fillId="0" borderId="3" xfId="0" applyFont="1" applyFill="1" applyBorder="1" applyProtection="1"/>
    <xf numFmtId="3" fontId="7" fillId="0" borderId="0" xfId="0" applyNumberFormat="1" applyFont="1" applyFill="1" applyAlignment="1" applyProtection="1">
      <alignment horizontal="center"/>
    </xf>
    <xf numFmtId="3" fontId="20" fillId="0" borderId="0" xfId="0" applyNumberFormat="1" applyFont="1" applyFill="1" applyAlignment="1" applyProtection="1">
      <alignment horizontal="centerContinuous"/>
    </xf>
    <xf numFmtId="164" fontId="5" fillId="0" borderId="0" xfId="0" applyNumberFormat="1" applyFont="1" applyFill="1" applyProtection="1"/>
    <xf numFmtId="164" fontId="4" fillId="7" borderId="0" xfId="0" applyNumberFormat="1" applyFont="1" applyFill="1" applyProtection="1"/>
    <xf numFmtId="167" fontId="7" fillId="7" borderId="3" xfId="0" applyNumberFormat="1" applyFont="1" applyFill="1" applyBorder="1" applyAlignment="1" applyProtection="1">
      <alignment horizontal="center"/>
    </xf>
    <xf numFmtId="0" fontId="7" fillId="8" borderId="9" xfId="0" applyFont="1" applyFill="1" applyBorder="1" applyAlignment="1" applyProtection="1">
      <alignment horizontal="right"/>
    </xf>
    <xf numFmtId="0" fontId="4" fillId="8" borderId="9" xfId="0" applyFont="1" applyFill="1" applyBorder="1" applyAlignment="1" applyProtection="1">
      <alignment horizontal="center"/>
    </xf>
    <xf numFmtId="3" fontId="8" fillId="8" borderId="3" xfId="0" applyNumberFormat="1" applyFont="1" applyFill="1" applyBorder="1" applyProtection="1"/>
    <xf numFmtId="0" fontId="4" fillId="8" borderId="9" xfId="0" applyFont="1" applyFill="1" applyBorder="1" applyAlignment="1" applyProtection="1">
      <alignment horizontal="right"/>
    </xf>
    <xf numFmtId="0" fontId="7" fillId="8" borderId="10" xfId="0" applyFont="1" applyFill="1" applyBorder="1" applyAlignment="1" applyProtection="1">
      <alignment horizontal="right"/>
    </xf>
    <xf numFmtId="0" fontId="4" fillId="8" borderId="10" xfId="0" applyFont="1" applyFill="1" applyBorder="1" applyAlignment="1" applyProtection="1">
      <alignment horizontal="right"/>
    </xf>
    <xf numFmtId="165" fontId="8" fillId="8" borderId="7" xfId="0" applyNumberFormat="1" applyFont="1" applyFill="1" applyBorder="1" applyProtection="1"/>
    <xf numFmtId="0" fontId="7" fillId="8" borderId="4" xfId="0" applyFont="1" applyFill="1" applyBorder="1" applyAlignment="1" applyProtection="1">
      <alignment horizontal="right"/>
    </xf>
    <xf numFmtId="0" fontId="4" fillId="8" borderId="4" xfId="0" applyFont="1" applyFill="1" applyBorder="1" applyAlignment="1" applyProtection="1">
      <alignment horizontal="right"/>
    </xf>
    <xf numFmtId="3" fontId="8" fillId="8" borderId="1" xfId="0" applyNumberFormat="1" applyFont="1" applyFill="1" applyBorder="1" applyProtection="1"/>
    <xf numFmtId="3" fontId="8" fillId="8" borderId="2" xfId="0" applyNumberFormat="1" applyFont="1" applyFill="1" applyBorder="1" applyProtection="1"/>
    <xf numFmtId="165" fontId="7" fillId="8" borderId="7" xfId="0" applyNumberFormat="1" applyFont="1" applyFill="1" applyBorder="1" applyProtection="1"/>
    <xf numFmtId="165" fontId="7" fillId="8" borderId="5" xfId="0" applyNumberFormat="1" applyFont="1" applyFill="1" applyBorder="1" applyProtection="1"/>
    <xf numFmtId="3" fontId="7" fillId="8" borderId="8" xfId="0" applyNumberFormat="1" applyFont="1" applyFill="1" applyBorder="1" applyProtection="1"/>
    <xf numFmtId="3" fontId="8" fillId="8" borderId="9" xfId="0" applyNumberFormat="1" applyFont="1" applyFill="1" applyBorder="1" applyProtection="1"/>
    <xf numFmtId="165" fontId="8" fillId="8" borderId="10" xfId="0" applyNumberFormat="1" applyFont="1" applyFill="1" applyBorder="1" applyProtection="1"/>
    <xf numFmtId="3" fontId="8" fillId="8" borderId="0" xfId="0" applyNumberFormat="1" applyFont="1" applyFill="1" applyBorder="1" applyProtection="1"/>
    <xf numFmtId="165" fontId="7" fillId="8" borderId="11" xfId="0" applyNumberFormat="1" applyFont="1" applyFill="1" applyBorder="1" applyProtection="1"/>
    <xf numFmtId="3" fontId="7" fillId="8" borderId="12" xfId="0" applyNumberFormat="1" applyFont="1" applyFill="1" applyBorder="1" applyProtection="1"/>
    <xf numFmtId="3" fontId="7" fillId="8" borderId="1" xfId="0" applyNumberFormat="1" applyFont="1" applyFill="1" applyBorder="1" applyProtection="1"/>
    <xf numFmtId="3" fontId="7" fillId="8" borderId="7" xfId="0" applyNumberFormat="1" applyFont="1" applyFill="1" applyBorder="1" applyProtection="1"/>
    <xf numFmtId="164" fontId="7" fillId="0" borderId="0" xfId="0" applyNumberFormat="1" applyFont="1" applyFill="1" applyProtection="1"/>
    <xf numFmtId="164" fontId="7" fillId="2" borderId="0" xfId="0" applyNumberFormat="1" applyFont="1" applyFill="1" applyProtection="1"/>
    <xf numFmtId="164" fontId="16" fillId="7" borderId="0" xfId="0" applyNumberFormat="1" applyFont="1" applyFill="1" applyProtection="1"/>
    <xf numFmtId="167" fontId="5" fillId="7" borderId="3" xfId="0" applyNumberFormat="1" applyFont="1" applyFill="1" applyBorder="1" applyAlignment="1" applyProtection="1">
      <alignment horizontal="center"/>
    </xf>
    <xf numFmtId="0" fontId="5" fillId="7" borderId="3" xfId="0" applyFont="1" applyFill="1" applyBorder="1" applyProtection="1"/>
    <xf numFmtId="0" fontId="16" fillId="8" borderId="9" xfId="0" applyFont="1" applyFill="1" applyBorder="1" applyAlignment="1" applyProtection="1">
      <alignment horizontal="right"/>
    </xf>
    <xf numFmtId="0" fontId="16" fillId="8" borderId="10" xfId="0" applyFont="1" applyFill="1" applyBorder="1" applyAlignment="1" applyProtection="1">
      <alignment horizontal="right"/>
    </xf>
    <xf numFmtId="0" fontId="16" fillId="8" borderId="4" xfId="0" applyFont="1" applyFill="1" applyBorder="1" applyAlignment="1" applyProtection="1">
      <alignment horizontal="right"/>
    </xf>
    <xf numFmtId="0" fontId="10" fillId="8" borderId="3" xfId="0" applyFont="1" applyFill="1" applyBorder="1" applyAlignment="1" applyProtection="1">
      <alignment horizontal="center"/>
    </xf>
    <xf numFmtId="165" fontId="10" fillId="8" borderId="3" xfId="0" applyNumberFormat="1" applyFont="1" applyFill="1" applyBorder="1" applyProtection="1"/>
    <xf numFmtId="0" fontId="14" fillId="9" borderId="3" xfId="0" applyFont="1" applyFill="1" applyBorder="1" applyAlignment="1" applyProtection="1">
      <alignment horizontal="right"/>
    </xf>
    <xf numFmtId="3" fontId="14" fillId="9" borderId="3" xfId="0" applyNumberFormat="1" applyFont="1" applyFill="1" applyBorder="1" applyProtection="1"/>
    <xf numFmtId="0" fontId="4" fillId="0" borderId="0" xfId="0" applyFont="1" applyFill="1" applyProtection="1"/>
    <xf numFmtId="0" fontId="23" fillId="0" borderId="0" xfId="0" applyFont="1"/>
    <xf numFmtId="3" fontId="8" fillId="0" borderId="0" xfId="0" applyNumberFormat="1" applyFont="1" applyFill="1" applyAlignment="1" applyProtection="1">
      <alignment horizontal="center"/>
    </xf>
    <xf numFmtId="14" fontId="8" fillId="5" borderId="3" xfId="0" applyNumberFormat="1" applyFont="1" applyFill="1" applyBorder="1" applyProtection="1">
      <protection locked="0"/>
    </xf>
    <xf numFmtId="3" fontId="2" fillId="0" borderId="0" xfId="0" applyNumberFormat="1" applyFont="1" applyFill="1" applyAlignment="1" applyProtection="1">
      <alignment horizontal="centerContinuous"/>
    </xf>
    <xf numFmtId="14" fontId="2" fillId="0" borderId="0" xfId="0" applyNumberFormat="1" applyFont="1" applyFill="1" applyAlignment="1" applyProtection="1">
      <alignment horizontal="centerContinuous"/>
    </xf>
    <xf numFmtId="3" fontId="2" fillId="0" borderId="0" xfId="0" applyNumberFormat="1" applyFont="1" applyFill="1" applyAlignment="1" applyProtection="1">
      <alignment horizontal="right"/>
    </xf>
    <xf numFmtId="3" fontId="2" fillId="10" borderId="7" xfId="0" applyNumberFormat="1" applyFont="1" applyFill="1" applyBorder="1" applyAlignment="1" applyProtection="1">
      <alignment horizontal="center"/>
    </xf>
    <xf numFmtId="3" fontId="2" fillId="10" borderId="9" xfId="0" applyNumberFormat="1" applyFont="1" applyFill="1" applyBorder="1" applyAlignment="1" applyProtection="1">
      <alignment horizontal="left"/>
    </xf>
    <xf numFmtId="3" fontId="2" fillId="10" borderId="14" xfId="0" applyNumberFormat="1" applyFont="1" applyFill="1" applyBorder="1" applyAlignment="1" applyProtection="1">
      <alignment horizontal="centerContinuous"/>
    </xf>
    <xf numFmtId="3" fontId="2" fillId="10" borderId="6" xfId="0" applyNumberFormat="1" applyFont="1" applyFill="1" applyBorder="1" applyAlignment="1" applyProtection="1">
      <alignment horizontal="centerContinuous"/>
    </xf>
    <xf numFmtId="3" fontId="2" fillId="10" borderId="3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2" fillId="0" borderId="0" xfId="0" applyFont="1" applyFill="1" applyBorder="1" applyProtection="1"/>
    <xf numFmtId="0" fontId="7" fillId="8" borderId="6" xfId="0" applyFont="1" applyFill="1" applyBorder="1" applyAlignment="1" applyProtection="1">
      <alignment horizontal="right"/>
    </xf>
    <xf numFmtId="0" fontId="2" fillId="8" borderId="0" xfId="0" applyFont="1" applyFill="1" applyProtection="1"/>
    <xf numFmtId="0" fontId="7" fillId="8" borderId="13" xfId="0" applyFont="1" applyFill="1" applyBorder="1" applyAlignment="1" applyProtection="1">
      <alignment horizontal="right"/>
    </xf>
    <xf numFmtId="0" fontId="7" fillId="8" borderId="5" xfId="0" applyFont="1" applyFill="1" applyBorder="1" applyAlignment="1" applyProtection="1">
      <alignment horizontal="right"/>
    </xf>
    <xf numFmtId="0" fontId="2" fillId="0" borderId="15" xfId="0" applyFont="1" applyFill="1" applyBorder="1" applyProtection="1"/>
    <xf numFmtId="0" fontId="2" fillId="8" borderId="14" xfId="0" applyFont="1" applyFill="1" applyBorder="1" applyProtection="1"/>
    <xf numFmtId="0" fontId="7" fillId="8" borderId="14" xfId="0" applyFont="1" applyFill="1" applyBorder="1" applyAlignment="1" applyProtection="1">
      <alignment horizontal="right"/>
    </xf>
    <xf numFmtId="0" fontId="23" fillId="8" borderId="0" xfId="0" applyFont="1" applyFill="1" applyBorder="1" applyAlignment="1" applyProtection="1">
      <alignment horizontal="center" vertical="center" textRotation="90"/>
    </xf>
    <xf numFmtId="0" fontId="7" fillId="8" borderId="11" xfId="0" applyFont="1" applyFill="1" applyBorder="1" applyAlignment="1" applyProtection="1">
      <alignment horizontal="right"/>
    </xf>
    <xf numFmtId="0" fontId="7" fillId="8" borderId="0" xfId="0" applyFont="1" applyFill="1" applyBorder="1" applyAlignment="1" applyProtection="1">
      <alignment horizontal="right"/>
    </xf>
    <xf numFmtId="0" fontId="2" fillId="8" borderId="15" xfId="0" applyFont="1" applyFill="1" applyBorder="1" applyProtection="1"/>
    <xf numFmtId="0" fontId="2" fillId="8" borderId="0" xfId="0" applyFont="1" applyFill="1" applyBorder="1" applyProtection="1"/>
    <xf numFmtId="0" fontId="7" fillId="0" borderId="6" xfId="0" applyFont="1" applyFill="1" applyBorder="1" applyAlignment="1" applyProtection="1">
      <alignment horizontal="right"/>
    </xf>
    <xf numFmtId="0" fontId="2" fillId="0" borderId="11" xfId="0" applyFont="1" applyFill="1" applyBorder="1" applyProtection="1"/>
    <xf numFmtId="0" fontId="4" fillId="0" borderId="10" xfId="0" applyFont="1" applyFill="1" applyBorder="1" applyAlignment="1" applyProtection="1">
      <alignment horizontal="right"/>
    </xf>
    <xf numFmtId="0" fontId="5" fillId="2" borderId="2" xfId="0" applyNumberFormat="1" applyFont="1" applyFill="1" applyBorder="1" applyAlignment="1" applyProtection="1">
      <alignment horizontal="center"/>
    </xf>
    <xf numFmtId="167" fontId="7" fillId="7" borderId="16" xfId="0" applyNumberFormat="1" applyFont="1" applyFill="1" applyBorder="1" applyAlignment="1" applyProtection="1">
      <alignment horizontal="center"/>
    </xf>
    <xf numFmtId="166" fontId="7" fillId="5" borderId="17" xfId="0" applyNumberFormat="1" applyFont="1" applyFill="1" applyBorder="1" applyProtection="1">
      <protection locked="0"/>
    </xf>
    <xf numFmtId="3" fontId="8" fillId="5" borderId="19" xfId="0" applyNumberFormat="1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right"/>
    </xf>
    <xf numFmtId="3" fontId="11" fillId="0" borderId="6" xfId="0" applyNumberFormat="1" applyFont="1" applyFill="1" applyBorder="1" applyProtection="1"/>
    <xf numFmtId="165" fontId="10" fillId="8" borderId="12" xfId="0" applyNumberFormat="1" applyFont="1" applyFill="1" applyBorder="1" applyProtection="1"/>
    <xf numFmtId="0" fontId="11" fillId="0" borderId="7" xfId="0" applyFont="1" applyFill="1" applyBorder="1" applyProtection="1"/>
    <xf numFmtId="0" fontId="11" fillId="0" borderId="1" xfId="0" applyFont="1" applyFill="1" applyBorder="1" applyProtection="1"/>
    <xf numFmtId="3" fontId="12" fillId="0" borderId="12" xfId="0" applyNumberFormat="1" applyFont="1" applyFill="1" applyBorder="1" applyAlignment="1" applyProtection="1">
      <alignment horizontal="right"/>
    </xf>
    <xf numFmtId="0" fontId="10" fillId="0" borderId="12" xfId="0" applyFont="1" applyFill="1" applyBorder="1" applyProtection="1"/>
    <xf numFmtId="0" fontId="7" fillId="0" borderId="7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/>
    </xf>
    <xf numFmtId="0" fontId="16" fillId="0" borderId="12" xfId="0" applyFont="1" applyFill="1" applyBorder="1" applyAlignment="1" applyProtection="1">
      <alignment horizontal="right"/>
    </xf>
    <xf numFmtId="3" fontId="11" fillId="5" borderId="7" xfId="0" applyNumberFormat="1" applyFont="1" applyFill="1" applyBorder="1" applyProtection="1">
      <protection locked="0"/>
    </xf>
    <xf numFmtId="3" fontId="11" fillId="0" borderId="11" xfId="0" applyNumberFormat="1" applyFont="1" applyFill="1" applyBorder="1" applyProtection="1"/>
    <xf numFmtId="0" fontId="16" fillId="0" borderId="22" xfId="0" applyFont="1" applyFill="1" applyBorder="1" applyProtection="1"/>
    <xf numFmtId="3" fontId="2" fillId="0" borderId="14" xfId="0" applyNumberFormat="1" applyFont="1" applyFill="1" applyBorder="1" applyProtection="1"/>
    <xf numFmtId="0" fontId="11" fillId="0" borderId="6" xfId="0" applyFont="1" applyFill="1" applyBorder="1" applyProtection="1"/>
    <xf numFmtId="3" fontId="11" fillId="0" borderId="1" xfId="0" applyNumberFormat="1" applyFont="1" applyFill="1" applyBorder="1" applyProtection="1"/>
    <xf numFmtId="0" fontId="15" fillId="8" borderId="12" xfId="0" applyFont="1" applyFill="1" applyBorder="1" applyAlignment="1" applyProtection="1">
      <alignment horizontal="left"/>
    </xf>
    <xf numFmtId="0" fontId="15" fillId="0" borderId="12" xfId="0" applyFont="1" applyFill="1" applyBorder="1" applyAlignment="1" applyProtection="1">
      <alignment horizontal="left"/>
    </xf>
    <xf numFmtId="3" fontId="8" fillId="5" borderId="23" xfId="0" applyNumberFormat="1" applyFont="1" applyFill="1" applyBorder="1" applyProtection="1">
      <protection locked="0"/>
    </xf>
    <xf numFmtId="3" fontId="8" fillId="5" borderId="17" xfId="0" applyNumberFormat="1" applyFont="1" applyFill="1" applyBorder="1" applyProtection="1">
      <protection locked="0"/>
    </xf>
    <xf numFmtId="167" fontId="7" fillId="7" borderId="7" xfId="0" applyNumberFormat="1" applyFont="1" applyFill="1" applyBorder="1" applyAlignment="1" applyProtection="1">
      <alignment horizontal="center"/>
    </xf>
    <xf numFmtId="3" fontId="11" fillId="8" borderId="3" xfId="0" applyNumberFormat="1" applyFont="1" applyFill="1" applyBorder="1" applyProtection="1"/>
    <xf numFmtId="3" fontId="24" fillId="8" borderId="8" xfId="0" applyNumberFormat="1" applyFont="1" applyFill="1" applyBorder="1" applyProtection="1"/>
    <xf numFmtId="165" fontId="11" fillId="8" borderId="7" xfId="0" applyNumberFormat="1" applyFont="1" applyFill="1" applyBorder="1" applyProtection="1"/>
    <xf numFmtId="0" fontId="11" fillId="8" borderId="2" xfId="0" applyFont="1" applyFill="1" applyBorder="1" applyProtection="1"/>
    <xf numFmtId="3" fontId="11" fillId="8" borderId="1" xfId="0" applyNumberFormat="1" applyFont="1" applyFill="1" applyBorder="1" applyProtection="1"/>
    <xf numFmtId="3" fontId="11" fillId="8" borderId="2" xfId="0" applyNumberFormat="1" applyFont="1" applyFill="1" applyBorder="1" applyProtection="1"/>
    <xf numFmtId="3" fontId="11" fillId="8" borderId="12" xfId="0" applyNumberFormat="1" applyFont="1" applyFill="1" applyBorder="1" applyProtection="1"/>
    <xf numFmtId="165" fontId="24" fillId="8" borderId="7" xfId="0" applyNumberFormat="1" applyFont="1" applyFill="1" applyBorder="1" applyProtection="1"/>
    <xf numFmtId="165" fontId="24" fillId="8" borderId="5" xfId="0" applyNumberFormat="1" applyFont="1" applyFill="1" applyBorder="1" applyProtection="1"/>
    <xf numFmtId="0" fontId="11" fillId="8" borderId="5" xfId="0" applyFont="1" applyFill="1" applyBorder="1" applyProtection="1"/>
    <xf numFmtId="0" fontId="23" fillId="8" borderId="11" xfId="0" applyFont="1" applyFill="1" applyBorder="1" applyAlignment="1" applyProtection="1">
      <alignment vertical="center" textRotation="90"/>
    </xf>
    <xf numFmtId="0" fontId="2" fillId="0" borderId="14" xfId="0" applyFont="1" applyFill="1" applyBorder="1" applyProtection="1"/>
    <xf numFmtId="3" fontId="2" fillId="0" borderId="11" xfId="0" applyNumberFormat="1" applyFont="1" applyFill="1" applyBorder="1" applyAlignment="1" applyProtection="1">
      <alignment horizontal="right"/>
    </xf>
    <xf numFmtId="0" fontId="1" fillId="0" borderId="0" xfId="0" applyFont="1" applyFill="1" applyProtection="1"/>
    <xf numFmtId="0" fontId="24" fillId="0" borderId="22" xfId="0" applyFont="1" applyFill="1" applyBorder="1" applyProtection="1"/>
    <xf numFmtId="0" fontId="15" fillId="0" borderId="15" xfId="0" applyFont="1" applyFill="1" applyBorder="1" applyProtection="1"/>
    <xf numFmtId="0" fontId="2" fillId="0" borderId="4" xfId="0" applyFont="1" applyFill="1" applyBorder="1" applyProtection="1"/>
    <xf numFmtId="0" fontId="15" fillId="0" borderId="0" xfId="0" applyFont="1" applyFill="1" applyBorder="1" applyProtection="1"/>
    <xf numFmtId="0" fontId="1" fillId="0" borderId="10" xfId="0" applyFont="1" applyFill="1" applyBorder="1" applyProtection="1"/>
    <xf numFmtId="0" fontId="15" fillId="0" borderId="11" xfId="0" applyFont="1" applyFill="1" applyBorder="1" applyProtection="1"/>
    <xf numFmtId="0" fontId="4" fillId="0" borderId="10" xfId="0" applyFont="1" applyFill="1" applyBorder="1" applyProtection="1"/>
    <xf numFmtId="3" fontId="2" fillId="0" borderId="12" xfId="0" applyNumberFormat="1" applyFont="1" applyFill="1" applyBorder="1" applyProtection="1"/>
    <xf numFmtId="3" fontId="2" fillId="0" borderId="1" xfId="0" applyNumberFormat="1" applyFont="1" applyFill="1" applyBorder="1" applyProtection="1"/>
    <xf numFmtId="3" fontId="2" fillId="0" borderId="7" xfId="0" applyNumberFormat="1" applyFont="1" applyFill="1" applyBorder="1" applyProtection="1"/>
    <xf numFmtId="0" fontId="2" fillId="0" borderId="1" xfId="0" applyNumberFormat="1" applyFont="1" applyFill="1" applyBorder="1" applyProtection="1"/>
    <xf numFmtId="3" fontId="1" fillId="0" borderId="12" xfId="0" applyNumberFormat="1" applyFont="1" applyFill="1" applyBorder="1" applyProtection="1"/>
    <xf numFmtId="0" fontId="28" fillId="0" borderId="22" xfId="0" applyFont="1" applyFill="1" applyBorder="1" applyProtection="1"/>
    <xf numFmtId="0" fontId="30" fillId="12" borderId="3" xfId="0" applyFont="1" applyFill="1" applyBorder="1" applyAlignment="1" applyProtection="1">
      <alignment horizontal="right"/>
    </xf>
    <xf numFmtId="0" fontId="31" fillId="12" borderId="3" xfId="0" applyFont="1" applyFill="1" applyBorder="1" applyAlignment="1" applyProtection="1">
      <alignment horizontal="right"/>
    </xf>
    <xf numFmtId="165" fontId="30" fillId="12" borderId="7" xfId="0" applyNumberFormat="1" applyFont="1" applyFill="1" applyBorder="1" applyProtection="1"/>
    <xf numFmtId="165" fontId="30" fillId="12" borderId="3" xfId="0" applyNumberFormat="1" applyFont="1" applyFill="1" applyBorder="1" applyProtection="1"/>
    <xf numFmtId="0" fontId="24" fillId="0" borderId="0" xfId="0" applyFont="1" applyFill="1" applyAlignment="1" applyProtection="1">
      <alignment horizontal="center"/>
    </xf>
    <xf numFmtId="3" fontId="25" fillId="0" borderId="0" xfId="0" applyNumberFormat="1" applyFont="1" applyFill="1" applyAlignment="1" applyProtection="1">
      <alignment horizontal="centerContinuous"/>
    </xf>
    <xf numFmtId="3" fontId="0" fillId="0" borderId="0" xfId="0" applyNumberFormat="1" applyFill="1" applyProtection="1"/>
    <xf numFmtId="3" fontId="0" fillId="0" borderId="0" xfId="0" applyNumberFormat="1" applyProtection="1"/>
    <xf numFmtId="166" fontId="5" fillId="10" borderId="3" xfId="0" applyNumberFormat="1" applyFont="1" applyFill="1" applyBorder="1" applyProtection="1"/>
    <xf numFmtId="3" fontId="11" fillId="9" borderId="7" xfId="0" applyNumberFormat="1" applyFont="1" applyFill="1" applyBorder="1" applyProtection="1"/>
    <xf numFmtId="3" fontId="11" fillId="9" borderId="5" xfId="0" applyNumberFormat="1" applyFont="1" applyFill="1" applyBorder="1" applyProtection="1"/>
    <xf numFmtId="3" fontId="11" fillId="0" borderId="2" xfId="0" applyNumberFormat="1" applyFont="1" applyFill="1" applyBorder="1" applyProtection="1"/>
    <xf numFmtId="3" fontId="11" fillId="5" borderId="3" xfId="0" applyNumberFormat="1" applyFont="1" applyFill="1" applyBorder="1" applyProtection="1"/>
    <xf numFmtId="3" fontId="11" fillId="6" borderId="17" xfId="0" applyNumberFormat="1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Protection="1">
      <protection locked="0"/>
    </xf>
    <xf numFmtId="0" fontId="8" fillId="6" borderId="0" xfId="0" applyFont="1" applyFill="1" applyBorder="1" applyProtection="1">
      <protection locked="0"/>
    </xf>
    <xf numFmtId="0" fontId="2" fillId="6" borderId="4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6" borderId="0" xfId="0" applyFont="1" applyFill="1" applyBorder="1" applyAlignment="1" applyProtection="1">
      <alignment horizontal="center"/>
      <protection locked="0"/>
    </xf>
    <xf numFmtId="0" fontId="8" fillId="6" borderId="0" xfId="0" applyFont="1" applyFill="1" applyProtection="1">
      <protection locked="0"/>
    </xf>
    <xf numFmtId="0" fontId="2" fillId="6" borderId="0" xfId="0" applyFont="1" applyFill="1" applyAlignment="1" applyProtection="1">
      <alignment horizontal="center"/>
      <protection locked="0"/>
    </xf>
    <xf numFmtId="3" fontId="2" fillId="0" borderId="0" xfId="0" applyNumberFormat="1" applyFont="1" applyFill="1" applyBorder="1" applyProtection="1">
      <protection locked="0"/>
    </xf>
    <xf numFmtId="3" fontId="8" fillId="0" borderId="0" xfId="0" applyNumberFormat="1" applyFont="1" applyFill="1" applyAlignment="1" applyProtection="1">
      <alignment horizontal="right"/>
    </xf>
    <xf numFmtId="3" fontId="8" fillId="5" borderId="20" xfId="0" applyNumberFormat="1" applyFont="1" applyFill="1" applyBorder="1" applyProtection="1"/>
    <xf numFmtId="3" fontId="8" fillId="5" borderId="21" xfId="0" applyNumberFormat="1" applyFont="1" applyFill="1" applyBorder="1" applyProtection="1"/>
    <xf numFmtId="3" fontId="8" fillId="0" borderId="0" xfId="0" applyNumberFormat="1" applyFont="1" applyProtection="1"/>
    <xf numFmtId="3" fontId="8" fillId="0" borderId="18" xfId="0" applyNumberFormat="1" applyFont="1" applyFill="1" applyBorder="1" applyProtection="1"/>
    <xf numFmtId="3" fontId="8" fillId="0" borderId="13" xfId="0" applyNumberFormat="1" applyFont="1" applyFill="1" applyBorder="1" applyProtection="1"/>
    <xf numFmtId="3" fontId="8" fillId="0" borderId="2" xfId="0" applyNumberFormat="1" applyFont="1" applyFill="1" applyBorder="1" applyProtection="1"/>
    <xf numFmtId="3" fontId="8" fillId="0" borderId="16" xfId="0" applyNumberFormat="1" applyFont="1" applyFill="1" applyBorder="1" applyProtection="1"/>
    <xf numFmtId="3" fontId="8" fillId="5" borderId="3" xfId="0" applyNumberFormat="1" applyFont="1" applyFill="1" applyBorder="1" applyProtection="1"/>
    <xf numFmtId="3" fontId="8" fillId="0" borderId="1" xfId="0" applyNumberFormat="1" applyFont="1" applyFill="1" applyBorder="1" applyProtection="1"/>
    <xf numFmtId="3" fontId="32" fillId="0" borderId="0" xfId="0" applyNumberFormat="1" applyFont="1" applyFill="1" applyAlignment="1" applyProtection="1">
      <alignment horizontal="centerContinuous"/>
    </xf>
    <xf numFmtId="3" fontId="8" fillId="11" borderId="0" xfId="0" applyNumberFormat="1" applyFont="1" applyFill="1" applyBorder="1" applyProtection="1">
      <protection locked="0"/>
    </xf>
    <xf numFmtId="0" fontId="33" fillId="13" borderId="0" xfId="0" applyFont="1" applyFill="1" applyAlignment="1" applyProtection="1">
      <alignment horizontal="center"/>
    </xf>
    <xf numFmtId="3" fontId="7" fillId="6" borderId="0" xfId="0" applyNumberFormat="1" applyFont="1" applyFill="1" applyAlignment="1" applyProtection="1">
      <alignment horizontal="center" wrapText="1"/>
    </xf>
    <xf numFmtId="3" fontId="8" fillId="0" borderId="11" xfId="0" applyNumberFormat="1" applyFont="1" applyFill="1" applyBorder="1" applyAlignment="1" applyProtection="1">
      <alignment horizontal="right"/>
    </xf>
    <xf numFmtId="3" fontId="8" fillId="0" borderId="5" xfId="0" applyNumberFormat="1" applyFont="1" applyFill="1" applyBorder="1" applyAlignment="1" applyProtection="1">
      <alignment horizontal="right"/>
    </xf>
    <xf numFmtId="0" fontId="34" fillId="0" borderId="0" xfId="0" applyFont="1" applyFill="1" applyAlignment="1" applyProtection="1">
      <alignment horizontal="center" vertical="center"/>
    </xf>
    <xf numFmtId="0" fontId="23" fillId="8" borderId="13" xfId="0" applyFont="1" applyFill="1" applyBorder="1" applyAlignment="1" applyProtection="1">
      <alignment horizontal="center" vertical="center" textRotation="90"/>
    </xf>
    <xf numFmtId="0" fontId="23" fillId="8" borderId="2" xfId="0" applyFont="1" applyFill="1" applyBorder="1" applyAlignment="1" applyProtection="1">
      <alignment horizontal="center" vertical="center" textRotation="90"/>
    </xf>
    <xf numFmtId="0" fontId="23" fillId="8" borderId="11" xfId="0" applyFont="1" applyFill="1" applyBorder="1" applyAlignment="1" applyProtection="1">
      <alignment horizontal="center" vertical="center" textRotation="90"/>
    </xf>
    <xf numFmtId="3" fontId="2" fillId="0" borderId="11" xfId="0" applyNumberFormat="1" applyFont="1" applyFill="1" applyBorder="1" applyAlignment="1" applyProtection="1">
      <alignment horizontal="right"/>
    </xf>
    <xf numFmtId="3" fontId="8" fillId="0" borderId="9" xfId="0" applyNumberFormat="1" applyFont="1" applyFill="1" applyBorder="1" applyAlignment="1" applyProtection="1"/>
    <xf numFmtId="3" fontId="8" fillId="14" borderId="9" xfId="0" applyNumberFormat="1" applyFont="1" applyFill="1" applyBorder="1" applyAlignment="1" applyProtection="1"/>
    <xf numFmtId="3" fontId="7" fillId="0" borderId="0" xfId="0" applyNumberFormat="1" applyFont="1" applyFill="1" applyAlignment="1" applyProtection="1">
      <alignment horizontal="centerContinuous"/>
    </xf>
    <xf numFmtId="0" fontId="1" fillId="0" borderId="0" xfId="0" applyFont="1"/>
    <xf numFmtId="3" fontId="1" fillId="0" borderId="0" xfId="0" applyNumberFormat="1" applyFont="1" applyFill="1" applyProtection="1"/>
    <xf numFmtId="3" fontId="1" fillId="14" borderId="14" xfId="0" applyNumberFormat="1" applyFont="1" applyFill="1" applyBorder="1" applyProtection="1"/>
    <xf numFmtId="3" fontId="7" fillId="14" borderId="6" xfId="0" applyNumberFormat="1" applyFont="1" applyFill="1" applyBorder="1" applyAlignment="1" applyProtection="1"/>
    <xf numFmtId="3" fontId="1" fillId="0" borderId="14" xfId="0" applyNumberFormat="1" applyFont="1" applyFill="1" applyBorder="1" applyProtection="1"/>
    <xf numFmtId="3" fontId="7" fillId="0" borderId="6" xfId="0" applyNumberFormat="1" applyFont="1" applyFill="1" applyBorder="1" applyAlignment="1" applyProtection="1"/>
    <xf numFmtId="3" fontId="8" fillId="0" borderId="0" xfId="0" quotePrefix="1" applyNumberFormat="1" applyFont="1" applyFill="1" applyAlignment="1" applyProtection="1"/>
    <xf numFmtId="3" fontId="7" fillId="0" borderId="0" xfId="0" applyNumberFormat="1" applyFont="1" applyFill="1" applyAlignment="1" applyProtection="1">
      <alignment wrapText="1"/>
    </xf>
    <xf numFmtId="3" fontId="6" fillId="0" borderId="0" xfId="0" applyNumberFormat="1" applyFont="1" applyFill="1" applyAlignment="1" applyProtection="1">
      <alignment horizontal="center"/>
    </xf>
    <xf numFmtId="3" fontId="3" fillId="0" borderId="0" xfId="0" applyNumberFormat="1" applyFont="1" applyFill="1" applyAlignment="1" applyProtection="1">
      <alignment horizontal="center"/>
    </xf>
    <xf numFmtId="3" fontId="2" fillId="10" borderId="14" xfId="0" applyNumberFormat="1" applyFont="1" applyFill="1" applyBorder="1" applyAlignment="1" applyProtection="1">
      <alignment horizontal="center"/>
    </xf>
    <xf numFmtId="3" fontId="2" fillId="10" borderId="6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horizontal="center"/>
    </xf>
    <xf numFmtId="3" fontId="25" fillId="0" borderId="0" xfId="0" applyNumberFormat="1" applyFont="1" applyFill="1" applyAlignment="1" applyProtection="1">
      <alignment horizontal="center"/>
    </xf>
    <xf numFmtId="14" fontId="2" fillId="0" borderId="0" xfId="0" applyNumberFormat="1" applyFont="1" applyFill="1" applyAlignment="1" applyProtection="1">
      <alignment horizontal="center"/>
    </xf>
    <xf numFmtId="0" fontId="35" fillId="0" borderId="0" xfId="0" applyFont="1"/>
    <xf numFmtId="3" fontId="8" fillId="0" borderId="0" xfId="0" applyNumberFormat="1" applyFont="1" applyFill="1" applyBorder="1" applyProtection="1">
      <protection locked="0"/>
    </xf>
    <xf numFmtId="3" fontId="8" fillId="5" borderId="24" xfId="0" applyNumberFormat="1" applyFont="1" applyFill="1" applyBorder="1" applyAlignment="1" applyProtection="1">
      <alignment horizontal="left"/>
      <protection locked="0"/>
    </xf>
    <xf numFmtId="3" fontId="8" fillId="5" borderId="25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7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1973E"/>
      <color rgb="FF00A249"/>
      <color rgb="FF00B050"/>
      <color rgb="FFB4E6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Trésorerie</c:v>
          </c:tx>
          <c:spPr>
            <a:solidFill>
              <a:srgbClr val="92D050"/>
            </a:solidFill>
          </c:spPr>
          <c:invertIfNegative val="0"/>
          <c:cat>
            <c:strRef>
              <c:f>'Tréso TTC'!$D$4:$W$4</c:f>
              <c:strCache>
                <c:ptCount val="20"/>
                <c:pt idx="0">
                  <c:v>mai 21</c:v>
                </c:pt>
                <c:pt idx="1">
                  <c:v>juin-21</c:v>
                </c:pt>
                <c:pt idx="2">
                  <c:v>juil.-21</c:v>
                </c:pt>
                <c:pt idx="3">
                  <c:v>août-21</c:v>
                </c:pt>
                <c:pt idx="4">
                  <c:v>sept.-21</c:v>
                </c:pt>
                <c:pt idx="5">
                  <c:v>oct.-21</c:v>
                </c:pt>
                <c:pt idx="6">
                  <c:v>nov.-21</c:v>
                </c:pt>
                <c:pt idx="7">
                  <c:v>déc.-21</c:v>
                </c:pt>
                <c:pt idx="8">
                  <c:v>janv.-22</c:v>
                </c:pt>
                <c:pt idx="9">
                  <c:v>févr.-22</c:v>
                </c:pt>
                <c:pt idx="10">
                  <c:v>mars-22</c:v>
                </c:pt>
                <c:pt idx="11">
                  <c:v>avr.-22</c:v>
                </c:pt>
                <c:pt idx="12">
                  <c:v>mai-22</c:v>
                </c:pt>
                <c:pt idx="13">
                  <c:v>juin-22</c:v>
                </c:pt>
                <c:pt idx="14">
                  <c:v>juil.-22</c:v>
                </c:pt>
                <c:pt idx="15">
                  <c:v>août-22</c:v>
                </c:pt>
                <c:pt idx="16">
                  <c:v>sept.-22</c:v>
                </c:pt>
                <c:pt idx="17">
                  <c:v>oct.-22</c:v>
                </c:pt>
                <c:pt idx="18">
                  <c:v>nov.-22</c:v>
                </c:pt>
                <c:pt idx="19">
                  <c:v>déc.-22</c:v>
                </c:pt>
              </c:strCache>
            </c:strRef>
          </c:cat>
          <c:val>
            <c:numRef>
              <c:f>'Tréso TTC'!$D$64:$W$64</c:f>
              <c:numCache>
                <c:formatCode>#,##0_ ;[Red]\-#,##0\ 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225638272"/>
        <c:axId val="225639808"/>
      </c:barChart>
      <c:lineChart>
        <c:grouping val="standard"/>
        <c:varyColors val="0"/>
        <c:ser>
          <c:idx val="1"/>
          <c:order val="1"/>
          <c:tx>
            <c:v>OCCC</c:v>
          </c:tx>
          <c:marker>
            <c:symbol val="none"/>
          </c:marker>
          <c:val>
            <c:numRef>
              <c:f>'Tréso TTC'!$D$65:$W$65</c:f>
              <c:numCache>
                <c:formatCode>#,##0</c:formatCode>
                <c:ptCount val="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638272"/>
        <c:axId val="225639808"/>
      </c:lineChart>
      <c:catAx>
        <c:axId val="22563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5639808"/>
        <c:crosses val="autoZero"/>
        <c:auto val="1"/>
        <c:lblAlgn val="ctr"/>
        <c:lblOffset val="100"/>
        <c:noMultiLvlLbl val="0"/>
      </c:catAx>
      <c:valAx>
        <c:axId val="225639808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225638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76933</xdr:colOff>
      <xdr:row>0</xdr:row>
      <xdr:rowOff>0</xdr:rowOff>
    </xdr:from>
    <xdr:to>
      <xdr:col>0</xdr:col>
      <xdr:colOff>1934307</xdr:colOff>
      <xdr:row>9</xdr:row>
      <xdr:rowOff>132301</xdr:rowOff>
    </xdr:to>
    <xdr:pic>
      <xdr:nvPicPr>
        <xdr:cNvPr id="6621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33" y="0"/>
          <a:ext cx="1857374" cy="2110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3385038</xdr:colOff>
      <xdr:row>1</xdr:row>
      <xdr:rowOff>175847</xdr:rowOff>
    </xdr:from>
    <xdr:to>
      <xdr:col>9</xdr:col>
      <xdr:colOff>1011116</xdr:colOff>
      <xdr:row>19</xdr:row>
      <xdr:rowOff>102577</xdr:rowOff>
    </xdr:to>
    <xdr:sp macro="" textlink="">
      <xdr:nvSpPr>
        <xdr:cNvPr id="3" name="ZoneTexte 2"/>
        <xdr:cNvSpPr txBox="1"/>
      </xdr:nvSpPr>
      <xdr:spPr>
        <a:xfrm>
          <a:off x="3385038" y="395655"/>
          <a:ext cx="9334501" cy="388326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0"/>
            <a:t>Voici les étapes afin de paramétrer le fichier et de pouvoir l'utilise</a:t>
          </a:r>
          <a:r>
            <a:rPr lang="fr-FR" sz="1600" b="0" baseline="0"/>
            <a:t>r correctement:</a:t>
          </a:r>
          <a:endParaRPr lang="fr-FR" sz="1600" b="0"/>
        </a:p>
        <a:p>
          <a:endParaRPr lang="fr-FR" sz="1000" b="0"/>
        </a:p>
        <a:p>
          <a:r>
            <a:rPr lang="fr-FR" sz="1600" b="0"/>
            <a:t>Sur l'onglet</a:t>
          </a:r>
          <a:r>
            <a:rPr lang="fr-FR" sz="1600" b="0" baseline="0"/>
            <a:t> : Tréso HT</a:t>
          </a:r>
          <a:endParaRPr lang="fr-FR" sz="1600" b="0"/>
        </a:p>
        <a:p>
          <a:r>
            <a:rPr lang="fr-FR" sz="1600" b="0"/>
            <a:t>Etape</a:t>
          </a:r>
          <a:r>
            <a:rPr lang="fr-FR" sz="1600" b="0" baseline="0"/>
            <a:t> 1 </a:t>
          </a:r>
          <a:r>
            <a:rPr lang="fr-FR" sz="1600" baseline="0"/>
            <a:t>: noter la date de début du prévisionnel</a:t>
          </a:r>
        </a:p>
        <a:p>
          <a:r>
            <a:rPr lang="fr-FR" sz="1600" baseline="0"/>
            <a:t>Etape 2 : inscrire le solde bancaire en début de mois</a:t>
          </a:r>
        </a:p>
        <a:p>
          <a:r>
            <a:rPr lang="fr-FR" sz="1600" baseline="0"/>
            <a:t>Etape 3 :</a:t>
          </a:r>
        </a:p>
        <a:p>
          <a:r>
            <a:rPr lang="fr-FR" sz="1600" baseline="0"/>
            <a:t>- choisir le type de déclaration TVA (voir tableau ci-contre):</a:t>
          </a:r>
        </a:p>
        <a:p>
          <a:r>
            <a:rPr lang="fr-FR" sz="1600" baseline="0"/>
            <a:t>- inscrire le montant de la TVA dû de l'année précédente (pour le calcul des acomptes)</a:t>
          </a:r>
        </a:p>
        <a:p>
          <a:r>
            <a:rPr lang="fr-FR" sz="1600" baseline="0"/>
            <a:t>- inscrire le montant de la TVA dû sur l'année en cours (pour le calcul du solde et acomptes)</a:t>
          </a:r>
        </a:p>
        <a:p>
          <a:r>
            <a:rPr lang="fr-FR" sz="1600" baseline="0"/>
            <a:t>- si vous optez pour la TVA RSA avec un solde 5 mois après la fin de l'exercicee comptable, il est indispensable de saisir les dates de l'exercice</a:t>
          </a:r>
        </a:p>
        <a:p>
          <a:r>
            <a:rPr lang="fr-FR" sz="1600" baseline="0"/>
            <a:t>Etape 4 : inscrire les encaissements et décaissements prévisionnel en montant HT</a:t>
          </a:r>
        </a:p>
        <a:p>
          <a:r>
            <a:rPr lang="fr-FR" sz="1600" baseline="0"/>
            <a:t>Etape 5 : possibilité d'ajouter des items pour les encaissements et décaissements (renseignez le taux de TVA). </a:t>
          </a:r>
        </a:p>
        <a:p>
          <a:r>
            <a:rPr lang="fr-FR" sz="1600" baseline="0"/>
            <a:t>Etape 6: passer à l'onglet "Tréso TTC"</a:t>
          </a:r>
        </a:p>
        <a:p>
          <a:endParaRPr lang="fr-FR" sz="700" baseline="0"/>
        </a:p>
        <a:p>
          <a:r>
            <a:rPr lang="fr-FR" sz="1600" baseline="0"/>
            <a:t>suite du tuto onglet tréso TTC plus bas... </a:t>
          </a:r>
        </a:p>
      </xdr:txBody>
    </xdr:sp>
    <xdr:clientData/>
  </xdr:twoCellAnchor>
  <xdr:twoCellAnchor>
    <xdr:from>
      <xdr:col>3</xdr:col>
      <xdr:colOff>234461</xdr:colOff>
      <xdr:row>20</xdr:row>
      <xdr:rowOff>175847</xdr:rowOff>
    </xdr:from>
    <xdr:to>
      <xdr:col>4</xdr:col>
      <xdr:colOff>29307</xdr:colOff>
      <xdr:row>22</xdr:row>
      <xdr:rowOff>131885</xdr:rowOff>
    </xdr:to>
    <xdr:sp macro="" textlink="">
      <xdr:nvSpPr>
        <xdr:cNvPr id="4" name="ZoneTexte 3"/>
        <xdr:cNvSpPr txBox="1"/>
      </xdr:nvSpPr>
      <xdr:spPr>
        <a:xfrm>
          <a:off x="5260730" y="2154116"/>
          <a:ext cx="908539" cy="3956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 b="1"/>
            <a:t>Etape 1</a:t>
          </a:r>
        </a:p>
      </xdr:txBody>
    </xdr:sp>
    <xdr:clientData/>
  </xdr:twoCellAnchor>
  <xdr:twoCellAnchor>
    <xdr:from>
      <xdr:col>2</xdr:col>
      <xdr:colOff>1055077</xdr:colOff>
      <xdr:row>21</xdr:row>
      <xdr:rowOff>117231</xdr:rowOff>
    </xdr:from>
    <xdr:to>
      <xdr:col>3</xdr:col>
      <xdr:colOff>234461</xdr:colOff>
      <xdr:row>21</xdr:row>
      <xdr:rowOff>153866</xdr:rowOff>
    </xdr:to>
    <xdr:cxnSp macro="">
      <xdr:nvCxnSpPr>
        <xdr:cNvPr id="6" name="Connecteur droit avec flèche 5"/>
        <xdr:cNvCxnSpPr>
          <a:stCxn id="4" idx="1"/>
        </xdr:cNvCxnSpPr>
      </xdr:nvCxnSpPr>
      <xdr:spPr bwMode="auto">
        <a:xfrm flipH="1" flipV="1">
          <a:off x="4967654" y="2315308"/>
          <a:ext cx="293076" cy="36635"/>
        </a:xfrm>
        <a:prstGeom prst="straightConnector1">
          <a:avLst/>
        </a:prstGeom>
        <a:ln w="28575">
          <a:headEnd type="none" w="med" len="med"/>
          <a:tailEnd type="arrow"/>
        </a:ln>
        <a:ex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93783</xdr:colOff>
      <xdr:row>24</xdr:row>
      <xdr:rowOff>196362</xdr:rowOff>
    </xdr:from>
    <xdr:to>
      <xdr:col>3</xdr:col>
      <xdr:colOff>1002322</xdr:colOff>
      <xdr:row>26</xdr:row>
      <xdr:rowOff>152400</xdr:rowOff>
    </xdr:to>
    <xdr:sp macro="" textlink="">
      <xdr:nvSpPr>
        <xdr:cNvPr id="7" name="ZoneTexte 6"/>
        <xdr:cNvSpPr txBox="1"/>
      </xdr:nvSpPr>
      <xdr:spPr>
        <a:xfrm>
          <a:off x="5120052" y="2834054"/>
          <a:ext cx="908539" cy="3956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 b="1"/>
            <a:t>Etape 2</a:t>
          </a:r>
        </a:p>
      </xdr:txBody>
    </xdr:sp>
    <xdr:clientData/>
  </xdr:twoCellAnchor>
  <xdr:twoCellAnchor>
    <xdr:from>
      <xdr:col>2</xdr:col>
      <xdr:colOff>952499</xdr:colOff>
      <xdr:row>24</xdr:row>
      <xdr:rowOff>146539</xdr:rowOff>
    </xdr:from>
    <xdr:to>
      <xdr:col>3</xdr:col>
      <xdr:colOff>93783</xdr:colOff>
      <xdr:row>25</xdr:row>
      <xdr:rowOff>174381</xdr:rowOff>
    </xdr:to>
    <xdr:cxnSp macro="">
      <xdr:nvCxnSpPr>
        <xdr:cNvPr id="10" name="Connecteur droit avec flèche 9"/>
        <xdr:cNvCxnSpPr>
          <a:stCxn id="7" idx="1"/>
        </xdr:cNvCxnSpPr>
      </xdr:nvCxnSpPr>
      <xdr:spPr bwMode="auto">
        <a:xfrm flipH="1" flipV="1">
          <a:off x="4865076" y="2784231"/>
          <a:ext cx="254976" cy="247650"/>
        </a:xfrm>
        <a:prstGeom prst="straightConnector1">
          <a:avLst/>
        </a:prstGeom>
        <a:ln w="28575">
          <a:headEnd type="none" w="med" len="med"/>
          <a:tailEnd type="arrow"/>
        </a:ln>
        <a:ex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553914</xdr:colOff>
      <xdr:row>18</xdr:row>
      <xdr:rowOff>128955</xdr:rowOff>
    </xdr:from>
    <xdr:to>
      <xdr:col>14</xdr:col>
      <xdr:colOff>348760</xdr:colOff>
      <xdr:row>20</xdr:row>
      <xdr:rowOff>84992</xdr:rowOff>
    </xdr:to>
    <xdr:sp macro="" textlink="">
      <xdr:nvSpPr>
        <xdr:cNvPr id="11" name="ZoneTexte 10"/>
        <xdr:cNvSpPr txBox="1"/>
      </xdr:nvSpPr>
      <xdr:spPr>
        <a:xfrm>
          <a:off x="16717106" y="4085493"/>
          <a:ext cx="908539" cy="39565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 b="1"/>
            <a:t>Etape 3</a:t>
          </a:r>
        </a:p>
      </xdr:txBody>
    </xdr:sp>
    <xdr:clientData/>
  </xdr:twoCellAnchor>
  <xdr:twoCellAnchor>
    <xdr:from>
      <xdr:col>13</xdr:col>
      <xdr:colOff>117231</xdr:colOff>
      <xdr:row>19</xdr:row>
      <xdr:rowOff>102578</xdr:rowOff>
    </xdr:from>
    <xdr:to>
      <xdr:col>13</xdr:col>
      <xdr:colOff>553914</xdr:colOff>
      <xdr:row>19</xdr:row>
      <xdr:rowOff>106974</xdr:rowOff>
    </xdr:to>
    <xdr:cxnSp macro="">
      <xdr:nvCxnSpPr>
        <xdr:cNvPr id="12" name="Connecteur droit avec flèche 11"/>
        <xdr:cNvCxnSpPr>
          <a:stCxn id="11" idx="1"/>
        </xdr:cNvCxnSpPr>
      </xdr:nvCxnSpPr>
      <xdr:spPr bwMode="auto">
        <a:xfrm flipH="1" flipV="1">
          <a:off x="16280423" y="4278924"/>
          <a:ext cx="436683" cy="4396"/>
        </a:xfrm>
        <a:prstGeom prst="straightConnector1">
          <a:avLst/>
        </a:prstGeom>
        <a:ln w="28575">
          <a:headEnd type="none" w="med" len="med"/>
          <a:tailEnd type="arrow"/>
        </a:ln>
        <a:ex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1512275</xdr:colOff>
      <xdr:row>31</xdr:row>
      <xdr:rowOff>208086</xdr:rowOff>
    </xdr:from>
    <xdr:to>
      <xdr:col>0</xdr:col>
      <xdr:colOff>2420814</xdr:colOff>
      <xdr:row>33</xdr:row>
      <xdr:rowOff>164124</xdr:rowOff>
    </xdr:to>
    <xdr:sp macro="" textlink="">
      <xdr:nvSpPr>
        <xdr:cNvPr id="15" name="ZoneTexte 14"/>
        <xdr:cNvSpPr txBox="1"/>
      </xdr:nvSpPr>
      <xdr:spPr>
        <a:xfrm>
          <a:off x="1512275" y="4384432"/>
          <a:ext cx="908539" cy="3956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 b="1"/>
            <a:t>Etape 5</a:t>
          </a:r>
        </a:p>
      </xdr:txBody>
    </xdr:sp>
    <xdr:clientData/>
  </xdr:twoCellAnchor>
  <xdr:twoCellAnchor>
    <xdr:from>
      <xdr:col>0</xdr:col>
      <xdr:colOff>1075592</xdr:colOff>
      <xdr:row>32</xdr:row>
      <xdr:rowOff>181709</xdr:rowOff>
    </xdr:from>
    <xdr:to>
      <xdr:col>0</xdr:col>
      <xdr:colOff>1512275</xdr:colOff>
      <xdr:row>32</xdr:row>
      <xdr:rowOff>186105</xdr:rowOff>
    </xdr:to>
    <xdr:cxnSp macro="">
      <xdr:nvCxnSpPr>
        <xdr:cNvPr id="16" name="Connecteur droit avec flèche 15"/>
        <xdr:cNvCxnSpPr>
          <a:stCxn id="15" idx="1"/>
        </xdr:cNvCxnSpPr>
      </xdr:nvCxnSpPr>
      <xdr:spPr bwMode="auto">
        <a:xfrm flipH="1" flipV="1">
          <a:off x="1075592" y="4577863"/>
          <a:ext cx="436683" cy="4396"/>
        </a:xfrm>
        <a:prstGeom prst="straightConnector1">
          <a:avLst/>
        </a:prstGeom>
        <a:ln w="28575">
          <a:headEnd type="none" w="med" len="med"/>
          <a:tailEnd type="arrow"/>
        </a:ln>
        <a:ex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345830</xdr:colOff>
      <xdr:row>30</xdr:row>
      <xdr:rowOff>140677</xdr:rowOff>
    </xdr:from>
    <xdr:to>
      <xdr:col>4</xdr:col>
      <xdr:colOff>140676</xdr:colOff>
      <xdr:row>32</xdr:row>
      <xdr:rowOff>96715</xdr:rowOff>
    </xdr:to>
    <xdr:sp macro="" textlink="">
      <xdr:nvSpPr>
        <xdr:cNvPr id="17" name="ZoneTexte 16"/>
        <xdr:cNvSpPr txBox="1"/>
      </xdr:nvSpPr>
      <xdr:spPr>
        <a:xfrm>
          <a:off x="5372099" y="4097215"/>
          <a:ext cx="908539" cy="3956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 b="1"/>
            <a:t>Etape 4</a:t>
          </a:r>
        </a:p>
      </xdr:txBody>
    </xdr:sp>
    <xdr:clientData/>
  </xdr:twoCellAnchor>
  <xdr:twoCellAnchor>
    <xdr:from>
      <xdr:col>2</xdr:col>
      <xdr:colOff>1022839</xdr:colOff>
      <xdr:row>31</xdr:row>
      <xdr:rowOff>114300</xdr:rowOff>
    </xdr:from>
    <xdr:to>
      <xdr:col>3</xdr:col>
      <xdr:colOff>345830</xdr:colOff>
      <xdr:row>31</xdr:row>
      <xdr:rowOff>118696</xdr:rowOff>
    </xdr:to>
    <xdr:cxnSp macro="">
      <xdr:nvCxnSpPr>
        <xdr:cNvPr id="18" name="Connecteur droit avec flèche 17"/>
        <xdr:cNvCxnSpPr>
          <a:stCxn id="17" idx="1"/>
        </xdr:cNvCxnSpPr>
      </xdr:nvCxnSpPr>
      <xdr:spPr bwMode="auto">
        <a:xfrm flipH="1" flipV="1">
          <a:off x="4935416" y="4290646"/>
          <a:ext cx="436683" cy="4396"/>
        </a:xfrm>
        <a:prstGeom prst="straightConnector1">
          <a:avLst/>
        </a:prstGeom>
        <a:ln w="28575">
          <a:headEnd type="none" w="med" len="med"/>
          <a:tailEnd type="arrow"/>
        </a:ln>
        <a:ex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149467</xdr:colOff>
      <xdr:row>35</xdr:row>
      <xdr:rowOff>149471</xdr:rowOff>
    </xdr:from>
    <xdr:to>
      <xdr:col>4</xdr:col>
      <xdr:colOff>205153</xdr:colOff>
      <xdr:row>38</xdr:row>
      <xdr:rowOff>190500</xdr:rowOff>
    </xdr:to>
    <xdr:sp macro="" textlink="">
      <xdr:nvSpPr>
        <xdr:cNvPr id="19" name="ZoneTexte 18"/>
        <xdr:cNvSpPr txBox="1"/>
      </xdr:nvSpPr>
      <xdr:spPr>
        <a:xfrm>
          <a:off x="4062044" y="6304086"/>
          <a:ext cx="2283071" cy="70045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 b="1"/>
            <a:t>Etape 5 bis : indiquer</a:t>
          </a:r>
          <a:r>
            <a:rPr lang="fr-FR" sz="1600" b="1" baseline="0"/>
            <a:t> le taux de TVA applicable</a:t>
          </a:r>
          <a:endParaRPr lang="fr-FR" sz="1600" b="1"/>
        </a:p>
      </xdr:txBody>
    </xdr:sp>
    <xdr:clientData/>
  </xdr:twoCellAnchor>
  <xdr:twoCellAnchor>
    <xdr:from>
      <xdr:col>1</xdr:col>
      <xdr:colOff>249116</xdr:colOff>
      <xdr:row>34</xdr:row>
      <xdr:rowOff>14655</xdr:rowOff>
    </xdr:from>
    <xdr:to>
      <xdr:col>2</xdr:col>
      <xdr:colOff>149467</xdr:colOff>
      <xdr:row>37</xdr:row>
      <xdr:rowOff>60081</xdr:rowOff>
    </xdr:to>
    <xdr:cxnSp macro="">
      <xdr:nvCxnSpPr>
        <xdr:cNvPr id="20" name="Connecteur droit avec flèche 19"/>
        <xdr:cNvCxnSpPr>
          <a:stCxn id="19" idx="1"/>
        </xdr:cNvCxnSpPr>
      </xdr:nvCxnSpPr>
      <xdr:spPr bwMode="auto">
        <a:xfrm flipH="1" flipV="1">
          <a:off x="3663462" y="5949463"/>
          <a:ext cx="398582" cy="704849"/>
        </a:xfrm>
        <a:prstGeom prst="straightConnector1">
          <a:avLst/>
        </a:prstGeom>
        <a:ln w="28575">
          <a:headEnd type="none" w="med" len="med"/>
          <a:tailEnd type="arrow"/>
        </a:ln>
        <a:ex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615462</xdr:colOff>
      <xdr:row>14</xdr:row>
      <xdr:rowOff>29307</xdr:rowOff>
    </xdr:from>
    <xdr:to>
      <xdr:col>13</xdr:col>
      <xdr:colOff>1008184</xdr:colOff>
      <xdr:row>18</xdr:row>
      <xdr:rowOff>128955</xdr:rowOff>
    </xdr:to>
    <xdr:cxnSp macro="">
      <xdr:nvCxnSpPr>
        <xdr:cNvPr id="5" name="Connecteur droit avec flèche 4"/>
        <xdr:cNvCxnSpPr>
          <a:stCxn id="11" idx="0"/>
        </xdr:cNvCxnSpPr>
      </xdr:nvCxnSpPr>
      <xdr:spPr bwMode="auto">
        <a:xfrm flipH="1" flipV="1">
          <a:off x="16778654" y="3106615"/>
          <a:ext cx="392722" cy="978878"/>
        </a:xfrm>
        <a:prstGeom prst="straightConnector1">
          <a:avLst/>
        </a:prstGeom>
        <a:ln w="28575">
          <a:headEnd type="none" w="med" len="med"/>
          <a:tailEnd type="arrow"/>
        </a:ln>
        <a:ex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190500</xdr:colOff>
      <xdr:row>20</xdr:row>
      <xdr:rowOff>84992</xdr:rowOff>
    </xdr:from>
    <xdr:to>
      <xdr:col>13</xdr:col>
      <xdr:colOff>1008184</xdr:colOff>
      <xdr:row>20</xdr:row>
      <xdr:rowOff>205154</xdr:rowOff>
    </xdr:to>
    <xdr:cxnSp macro="">
      <xdr:nvCxnSpPr>
        <xdr:cNvPr id="9" name="Connecteur droit avec flèche 8"/>
        <xdr:cNvCxnSpPr>
          <a:stCxn id="11" idx="2"/>
        </xdr:cNvCxnSpPr>
      </xdr:nvCxnSpPr>
      <xdr:spPr bwMode="auto">
        <a:xfrm flipH="1">
          <a:off x="15240000" y="4481146"/>
          <a:ext cx="1931376" cy="120162"/>
        </a:xfrm>
        <a:prstGeom prst="straightConnector1">
          <a:avLst/>
        </a:prstGeom>
        <a:ln w="28575">
          <a:headEnd type="none" w="med" len="med"/>
          <a:tailEnd type="arrow"/>
        </a:ln>
        <a:ex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498230</xdr:colOff>
      <xdr:row>93</xdr:row>
      <xdr:rowOff>117232</xdr:rowOff>
    </xdr:from>
    <xdr:to>
      <xdr:col>9</xdr:col>
      <xdr:colOff>205156</xdr:colOff>
      <xdr:row>104</xdr:row>
      <xdr:rowOff>58615</xdr:rowOff>
    </xdr:to>
    <xdr:sp macro="" textlink="">
      <xdr:nvSpPr>
        <xdr:cNvPr id="22" name="ZoneTexte 21"/>
        <xdr:cNvSpPr txBox="1"/>
      </xdr:nvSpPr>
      <xdr:spPr>
        <a:xfrm>
          <a:off x="3912576" y="17335501"/>
          <a:ext cx="8001003" cy="171449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0"/>
            <a:t>Sur l'onglet</a:t>
          </a:r>
          <a:r>
            <a:rPr lang="fr-FR" sz="1600" b="0" baseline="0"/>
            <a:t> : Tréso TCC</a:t>
          </a:r>
        </a:p>
        <a:p>
          <a:r>
            <a:rPr lang="fr-FR" sz="1600" b="0" baseline="0"/>
            <a:t>Le tableau reprend les éléments de l'onglet HT. Vous ne pouvez pas modifier vos chiffres directement sur cette onglet. </a:t>
          </a:r>
        </a:p>
        <a:p>
          <a:r>
            <a:rPr lang="fr-FR" sz="1600" b="0" baseline="0"/>
            <a:t>Les montants apparaissent désormais en TTC. </a:t>
          </a:r>
        </a:p>
        <a:p>
          <a:r>
            <a:rPr lang="fr-FR" sz="1600" b="0" baseline="0"/>
            <a:t>Etape 7: gérer les emprunts cours terme pour adapter votre trésorerie</a:t>
          </a:r>
        </a:p>
        <a:p>
          <a:r>
            <a:rPr lang="fr-FR" sz="1600" b="0" baseline="0"/>
            <a:t>Etape 8 : inscrire le montant de l'autorisation de découvert</a:t>
          </a:r>
        </a:p>
      </xdr:txBody>
    </xdr:sp>
    <xdr:clientData/>
  </xdr:twoCellAnchor>
  <xdr:twoCellAnchor>
    <xdr:from>
      <xdr:col>4</xdr:col>
      <xdr:colOff>380999</xdr:colOff>
      <xdr:row>132</xdr:row>
      <xdr:rowOff>219807</xdr:rowOff>
    </xdr:from>
    <xdr:to>
      <xdr:col>5</xdr:col>
      <xdr:colOff>175846</xdr:colOff>
      <xdr:row>134</xdr:row>
      <xdr:rowOff>175845</xdr:rowOff>
    </xdr:to>
    <xdr:sp macro="" textlink="">
      <xdr:nvSpPr>
        <xdr:cNvPr id="23" name="ZoneTexte 22"/>
        <xdr:cNvSpPr txBox="1"/>
      </xdr:nvSpPr>
      <xdr:spPr>
        <a:xfrm>
          <a:off x="6520961" y="24794307"/>
          <a:ext cx="908539" cy="39565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 b="1"/>
            <a:t>Etape 7</a:t>
          </a:r>
        </a:p>
      </xdr:txBody>
    </xdr:sp>
    <xdr:clientData/>
  </xdr:twoCellAnchor>
  <xdr:twoCellAnchor>
    <xdr:from>
      <xdr:col>3</xdr:col>
      <xdr:colOff>1040423</xdr:colOff>
      <xdr:row>133</xdr:row>
      <xdr:rowOff>102576</xdr:rowOff>
    </xdr:from>
    <xdr:to>
      <xdr:col>4</xdr:col>
      <xdr:colOff>380999</xdr:colOff>
      <xdr:row>133</xdr:row>
      <xdr:rowOff>183172</xdr:rowOff>
    </xdr:to>
    <xdr:cxnSp macro="">
      <xdr:nvCxnSpPr>
        <xdr:cNvPr id="24" name="Connecteur droit avec flèche 23"/>
        <xdr:cNvCxnSpPr>
          <a:stCxn id="23" idx="1"/>
        </xdr:cNvCxnSpPr>
      </xdr:nvCxnSpPr>
      <xdr:spPr bwMode="auto">
        <a:xfrm flipH="1" flipV="1">
          <a:off x="6066692" y="24911538"/>
          <a:ext cx="454269" cy="80596"/>
        </a:xfrm>
        <a:prstGeom prst="straightConnector1">
          <a:avLst/>
        </a:prstGeom>
        <a:ln w="28575">
          <a:headEnd type="none" w="med" len="med"/>
          <a:tailEnd type="arrow"/>
        </a:ln>
        <a:ex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328246</xdr:colOff>
      <xdr:row>137</xdr:row>
      <xdr:rowOff>5860</xdr:rowOff>
    </xdr:from>
    <xdr:to>
      <xdr:col>4</xdr:col>
      <xdr:colOff>123092</xdr:colOff>
      <xdr:row>138</xdr:row>
      <xdr:rowOff>181706</xdr:rowOff>
    </xdr:to>
    <xdr:sp macro="" textlink="">
      <xdr:nvSpPr>
        <xdr:cNvPr id="27" name="ZoneTexte 26"/>
        <xdr:cNvSpPr txBox="1"/>
      </xdr:nvSpPr>
      <xdr:spPr>
        <a:xfrm>
          <a:off x="5354515" y="25664745"/>
          <a:ext cx="908539" cy="39565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 b="1"/>
            <a:t>Etape 8</a:t>
          </a:r>
        </a:p>
      </xdr:txBody>
    </xdr:sp>
    <xdr:clientData/>
  </xdr:twoCellAnchor>
  <xdr:twoCellAnchor>
    <xdr:from>
      <xdr:col>2</xdr:col>
      <xdr:colOff>987669</xdr:colOff>
      <xdr:row>137</xdr:row>
      <xdr:rowOff>123091</xdr:rowOff>
    </xdr:from>
    <xdr:to>
      <xdr:col>3</xdr:col>
      <xdr:colOff>328246</xdr:colOff>
      <xdr:row>137</xdr:row>
      <xdr:rowOff>203687</xdr:rowOff>
    </xdr:to>
    <xdr:cxnSp macro="">
      <xdr:nvCxnSpPr>
        <xdr:cNvPr id="28" name="Connecteur droit avec flèche 27"/>
        <xdr:cNvCxnSpPr>
          <a:stCxn id="27" idx="1"/>
        </xdr:cNvCxnSpPr>
      </xdr:nvCxnSpPr>
      <xdr:spPr bwMode="auto">
        <a:xfrm flipH="1" flipV="1">
          <a:off x="4900246" y="25781976"/>
          <a:ext cx="454269" cy="80596"/>
        </a:xfrm>
        <a:prstGeom prst="straightConnector1">
          <a:avLst/>
        </a:prstGeom>
        <a:ln w="28575">
          <a:headEnd type="none" w="med" len="med"/>
          <a:tailEnd type="arrow"/>
        </a:ln>
        <a:ex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1</xdr:col>
      <xdr:colOff>790575</xdr:colOff>
      <xdr:row>3</xdr:row>
      <xdr:rowOff>190500</xdr:rowOff>
    </xdr:to>
    <xdr:pic>
      <xdr:nvPicPr>
        <xdr:cNvPr id="2095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742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742950</xdr:colOff>
      <xdr:row>3</xdr:row>
      <xdr:rowOff>180975</xdr:rowOff>
    </xdr:to>
    <xdr:pic>
      <xdr:nvPicPr>
        <xdr:cNvPr id="5153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7429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2809875</xdr:colOff>
      <xdr:row>69</xdr:row>
      <xdr:rowOff>114300</xdr:rowOff>
    </xdr:from>
    <xdr:to>
      <xdr:col>23</xdr:col>
      <xdr:colOff>323850</xdr:colOff>
      <xdr:row>85</xdr:row>
      <xdr:rowOff>66675</xdr:rowOff>
    </xdr:to>
    <xdr:graphicFrame macro="">
      <xdr:nvGraphicFramePr>
        <xdr:cNvPr id="515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au1" displayName="Tableau1" ref="A1:A6" totalsRowShown="0" dataDxfId="6">
  <autoFilter ref="A1:A6"/>
  <tableColumns count="1">
    <tableColumn id="1" name="Type TVA" dataDxfId="5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47"/>
  <sheetViews>
    <sheetView showGridLines="0" tabSelected="1" zoomScale="65" workbookViewId="0">
      <selection activeCell="F147" sqref="F147"/>
    </sheetView>
  </sheetViews>
  <sheetFormatPr baseColWidth="10" defaultRowHeight="12.75" x14ac:dyDescent="0.2"/>
  <cols>
    <col min="1" max="1" width="51.140625" style="1" customWidth="1"/>
    <col min="2" max="2" width="7.42578125" style="1" customWidth="1"/>
    <col min="3" max="22" width="16.7109375" style="5" customWidth="1"/>
    <col min="23" max="23" width="16.7109375" style="1" customWidth="1"/>
    <col min="24" max="16384" width="11.42578125" style="1"/>
  </cols>
  <sheetData>
    <row r="1" spans="1:23" ht="17.25" customHeight="1" x14ac:dyDescent="0.35">
      <c r="C1" s="255" t="s">
        <v>137</v>
      </c>
      <c r="D1" s="255"/>
      <c r="E1" s="255"/>
      <c r="F1" s="255"/>
      <c r="G1" s="93"/>
      <c r="H1" s="249"/>
      <c r="I1" s="249"/>
      <c r="J1" s="262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4"/>
    </row>
    <row r="2" spans="1:23" ht="17.25" customHeight="1" x14ac:dyDescent="0.3">
      <c r="C2" s="255"/>
      <c r="D2" s="255"/>
      <c r="E2" s="255"/>
      <c r="F2" s="255"/>
      <c r="G2" s="93"/>
      <c r="H2" s="83"/>
      <c r="I2" s="83"/>
      <c r="J2" s="262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4"/>
    </row>
    <row r="3" spans="1:23" ht="17.25" customHeight="1" x14ac:dyDescent="0.3">
      <c r="C3" s="92"/>
      <c r="D3" s="81"/>
      <c r="E3" s="82"/>
      <c r="F3" s="82"/>
      <c r="G3" s="93"/>
      <c r="H3" s="83"/>
      <c r="I3" s="83"/>
      <c r="J3" s="262"/>
      <c r="K3" s="81"/>
      <c r="L3" s="81"/>
      <c r="M3" s="81"/>
      <c r="N3" s="81"/>
      <c r="O3" s="263"/>
      <c r="P3" s="81"/>
      <c r="Q3" s="81"/>
      <c r="R3" s="81"/>
      <c r="S3" s="81"/>
      <c r="T3" s="81"/>
      <c r="U3" s="81"/>
      <c r="V3" s="81"/>
      <c r="W3" s="84"/>
    </row>
    <row r="4" spans="1:23" ht="17.25" customHeight="1" x14ac:dyDescent="0.3">
      <c r="C4" s="92"/>
      <c r="D4" s="81"/>
      <c r="E4" s="82"/>
      <c r="F4" s="82"/>
      <c r="G4" s="93"/>
      <c r="H4" s="83"/>
      <c r="I4" s="83"/>
      <c r="J4" s="262"/>
      <c r="K4" s="81"/>
      <c r="L4" s="252" t="s">
        <v>69</v>
      </c>
      <c r="M4" s="252"/>
      <c r="N4" s="252"/>
      <c r="O4" s="252"/>
      <c r="P4" s="81"/>
      <c r="Q4" s="81"/>
      <c r="R4" s="81"/>
      <c r="S4" s="81"/>
      <c r="T4" s="81"/>
      <c r="U4" s="81"/>
      <c r="V4" s="81"/>
      <c r="W4" s="84"/>
    </row>
    <row r="5" spans="1:23" ht="17.25" customHeight="1" x14ac:dyDescent="0.3">
      <c r="C5" s="92"/>
      <c r="D5" s="81"/>
      <c r="E5" s="82"/>
      <c r="F5" s="82"/>
      <c r="G5" s="93"/>
      <c r="H5" s="83"/>
      <c r="I5" s="83"/>
      <c r="K5" s="270"/>
      <c r="L5" s="270"/>
      <c r="M5" s="81"/>
      <c r="N5" s="81"/>
      <c r="O5" s="131"/>
      <c r="P5" s="81"/>
      <c r="Q5" s="81"/>
      <c r="R5" s="81"/>
      <c r="S5" s="81"/>
      <c r="T5" s="81"/>
      <c r="U5" s="81"/>
      <c r="V5" s="81"/>
      <c r="W5" s="84"/>
    </row>
    <row r="6" spans="1:23" ht="17.25" customHeight="1" x14ac:dyDescent="0.3">
      <c r="C6" s="92"/>
      <c r="D6" s="81"/>
      <c r="E6" s="82"/>
      <c r="F6" s="82"/>
      <c r="G6" s="93"/>
      <c r="H6" s="83"/>
      <c r="I6" s="83"/>
      <c r="J6" s="270"/>
      <c r="K6" s="270"/>
      <c r="L6" s="270"/>
      <c r="M6" s="81"/>
      <c r="N6" s="81"/>
      <c r="O6" s="131"/>
      <c r="P6" s="81"/>
      <c r="Q6" s="81"/>
      <c r="R6" s="81"/>
      <c r="S6" s="81"/>
      <c r="T6" s="81"/>
      <c r="U6" s="81"/>
      <c r="V6" s="81"/>
      <c r="W6" s="84"/>
    </row>
    <row r="7" spans="1:23" ht="17.25" customHeight="1" x14ac:dyDescent="0.3">
      <c r="C7" s="92"/>
      <c r="D7" s="81"/>
      <c r="E7" s="82"/>
      <c r="F7" s="82"/>
      <c r="G7" s="93"/>
      <c r="H7" s="83"/>
      <c r="I7" s="83"/>
      <c r="J7" s="262"/>
      <c r="K7" s="81"/>
      <c r="L7" s="81"/>
      <c r="M7" s="81"/>
      <c r="N7" s="264"/>
      <c r="O7" s="131"/>
      <c r="P7" s="81"/>
      <c r="Q7" s="81"/>
      <c r="R7" s="81"/>
      <c r="S7" s="81"/>
      <c r="T7" s="81"/>
      <c r="U7" s="81"/>
      <c r="V7" s="81"/>
      <c r="W7" s="84"/>
    </row>
    <row r="8" spans="1:23" ht="17.25" customHeight="1" x14ac:dyDescent="0.3">
      <c r="C8" s="92"/>
      <c r="D8" s="81"/>
      <c r="E8" s="82"/>
      <c r="F8" s="82"/>
      <c r="G8" s="93"/>
      <c r="H8" s="83"/>
      <c r="I8" s="83"/>
      <c r="J8" s="262"/>
      <c r="K8" s="81"/>
      <c r="L8" s="81"/>
      <c r="M8" s="81"/>
      <c r="N8" s="264"/>
      <c r="O8" s="131"/>
      <c r="P8" s="81"/>
      <c r="Q8" s="81"/>
      <c r="R8" s="81"/>
      <c r="S8" s="81"/>
      <c r="T8" s="81"/>
      <c r="U8" s="81"/>
      <c r="V8" s="81"/>
      <c r="W8" s="84"/>
    </row>
    <row r="9" spans="1:23" ht="17.25" customHeight="1" x14ac:dyDescent="0.3">
      <c r="C9" s="92"/>
      <c r="D9" s="81"/>
      <c r="E9" s="82"/>
      <c r="F9" s="82"/>
      <c r="G9" s="93"/>
      <c r="H9" s="83"/>
      <c r="I9" s="83"/>
      <c r="J9" s="262"/>
      <c r="K9" s="264"/>
      <c r="L9" s="261" t="s">
        <v>70</v>
      </c>
      <c r="M9" s="265"/>
      <c r="N9" s="266"/>
      <c r="O9" s="81"/>
      <c r="P9" s="81"/>
      <c r="Q9" s="81"/>
      <c r="R9" s="81"/>
      <c r="S9" s="81"/>
      <c r="T9" s="81"/>
      <c r="U9" s="81"/>
      <c r="V9" s="81"/>
      <c r="W9" s="84"/>
    </row>
    <row r="10" spans="1:23" ht="17.25" customHeight="1" x14ac:dyDescent="0.3">
      <c r="C10" s="92"/>
      <c r="D10" s="81"/>
      <c r="E10" s="82"/>
      <c r="F10" s="82"/>
      <c r="G10" s="93"/>
      <c r="H10" s="83"/>
      <c r="I10" s="83"/>
      <c r="J10" s="262"/>
      <c r="K10" s="264"/>
      <c r="L10" s="260" t="s">
        <v>82</v>
      </c>
      <c r="M10" s="267"/>
      <c r="N10" s="268"/>
      <c r="O10" s="81"/>
      <c r="P10" s="81"/>
      <c r="Q10" s="81"/>
      <c r="R10" s="81"/>
      <c r="S10" s="81"/>
      <c r="T10" s="81"/>
      <c r="U10" s="81"/>
      <c r="V10" s="81"/>
      <c r="W10" s="84"/>
    </row>
    <row r="11" spans="1:23" ht="17.25" customHeight="1" x14ac:dyDescent="0.3">
      <c r="C11" s="92"/>
      <c r="D11" s="81"/>
      <c r="E11" s="82"/>
      <c r="F11" s="82"/>
      <c r="G11" s="93"/>
      <c r="H11" s="83"/>
      <c r="I11" s="83"/>
      <c r="J11" s="262"/>
      <c r="K11" s="264"/>
      <c r="L11" s="260" t="s">
        <v>81</v>
      </c>
      <c r="M11" s="267"/>
      <c r="N11" s="268"/>
      <c r="O11" s="81"/>
      <c r="P11" s="81"/>
      <c r="Q11" s="81"/>
      <c r="R11" s="81"/>
      <c r="S11" s="81"/>
      <c r="T11" s="81"/>
      <c r="U11" s="81"/>
      <c r="V11" s="81"/>
      <c r="W11" s="84"/>
    </row>
    <row r="12" spans="1:23" ht="17.25" customHeight="1" x14ac:dyDescent="0.3">
      <c r="C12" s="92"/>
      <c r="D12" s="81"/>
      <c r="E12" s="82"/>
      <c r="F12" s="82"/>
      <c r="G12" s="93"/>
      <c r="H12" s="83"/>
      <c r="I12" s="83"/>
      <c r="J12" s="262"/>
      <c r="K12" s="264"/>
      <c r="L12" s="260" t="s">
        <v>71</v>
      </c>
      <c r="M12" s="267"/>
      <c r="N12" s="268"/>
      <c r="O12" s="81"/>
      <c r="P12" s="81"/>
      <c r="Q12" s="81"/>
      <c r="R12" s="81"/>
      <c r="S12" s="81"/>
      <c r="T12" s="81"/>
      <c r="U12" s="81"/>
      <c r="V12" s="81"/>
      <c r="W12" s="84"/>
    </row>
    <row r="13" spans="1:23" ht="17.25" customHeight="1" x14ac:dyDescent="0.3">
      <c r="C13" s="92"/>
      <c r="D13" s="81"/>
      <c r="E13" s="82"/>
      <c r="F13" s="82"/>
      <c r="G13" s="93"/>
      <c r="H13" s="83"/>
      <c r="I13" s="83"/>
      <c r="J13" s="262"/>
      <c r="K13" s="264"/>
      <c r="L13" s="260" t="s">
        <v>72</v>
      </c>
      <c r="M13" s="267"/>
      <c r="N13" s="268"/>
      <c r="O13" s="81"/>
      <c r="P13" s="81"/>
      <c r="Q13" s="81"/>
      <c r="R13" s="81"/>
      <c r="S13" s="81"/>
      <c r="T13" s="81"/>
      <c r="U13" s="81"/>
      <c r="V13" s="81"/>
      <c r="W13" s="84"/>
    </row>
    <row r="14" spans="1:23" ht="17.25" customHeight="1" x14ac:dyDescent="0.3">
      <c r="A14" s="251" t="s">
        <v>138</v>
      </c>
      <c r="C14" s="92"/>
      <c r="D14" s="81"/>
      <c r="E14" s="82"/>
      <c r="F14" s="82"/>
      <c r="G14" s="93"/>
      <c r="H14" s="83"/>
      <c r="I14" s="83"/>
      <c r="J14" s="262"/>
      <c r="K14" s="264"/>
      <c r="L14" s="260" t="s">
        <v>97</v>
      </c>
      <c r="M14" s="267"/>
      <c r="N14" s="268"/>
      <c r="O14" s="269" t="s">
        <v>139</v>
      </c>
      <c r="P14" s="81"/>
      <c r="Q14" s="81"/>
      <c r="R14" s="81"/>
      <c r="S14" s="81"/>
      <c r="T14" s="81"/>
      <c r="U14" s="81"/>
      <c r="V14" s="81"/>
      <c r="W14" s="84"/>
    </row>
    <row r="15" spans="1:23" ht="17.25" customHeight="1" x14ac:dyDescent="0.3">
      <c r="A15" s="251"/>
      <c r="C15" s="92"/>
      <c r="D15" s="81"/>
      <c r="E15" s="82"/>
      <c r="F15" s="82"/>
      <c r="G15" s="93"/>
      <c r="H15" s="83"/>
      <c r="I15" s="83"/>
      <c r="J15" s="262"/>
      <c r="K15" s="81"/>
      <c r="L15" s="199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4"/>
    </row>
    <row r="16" spans="1:23" ht="17.25" customHeight="1" x14ac:dyDescent="0.3">
      <c r="C16" s="92"/>
      <c r="D16" s="81"/>
      <c r="E16" s="82"/>
      <c r="F16" s="82"/>
      <c r="G16" s="93"/>
      <c r="H16" s="83"/>
      <c r="I16" s="83"/>
      <c r="J16" s="262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4"/>
    </row>
    <row r="17" spans="1:23" ht="17.25" customHeight="1" x14ac:dyDescent="0.3">
      <c r="C17" s="92"/>
      <c r="D17" s="81"/>
      <c r="E17" s="82"/>
      <c r="F17" s="82"/>
      <c r="G17" s="93"/>
      <c r="H17" s="83"/>
      <c r="I17" s="83"/>
      <c r="J17" s="262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4"/>
    </row>
    <row r="18" spans="1:23" ht="17.25" customHeight="1" x14ac:dyDescent="0.3">
      <c r="G18" s="93"/>
      <c r="H18" s="83"/>
      <c r="I18" s="83"/>
      <c r="J18" s="262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4"/>
    </row>
    <row r="19" spans="1:23" ht="17.25" customHeight="1" thickBot="1" x14ac:dyDescent="0.35">
      <c r="C19" s="92"/>
      <c r="D19" s="81"/>
      <c r="E19" s="82"/>
      <c r="F19" s="82"/>
      <c r="G19" s="93"/>
      <c r="H19" s="83"/>
      <c r="I19" s="83"/>
      <c r="J19" s="262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4"/>
    </row>
    <row r="20" spans="1:23" ht="17.25" customHeight="1" thickBot="1" x14ac:dyDescent="0.35">
      <c r="G20" s="93"/>
      <c r="H20" s="83"/>
      <c r="I20" s="83"/>
      <c r="J20" s="83"/>
      <c r="K20" s="239" t="s">
        <v>73</v>
      </c>
      <c r="L20" s="183" t="s">
        <v>97</v>
      </c>
      <c r="M20" s="240"/>
      <c r="N20" s="241"/>
      <c r="O20" s="82"/>
      <c r="P20" s="82"/>
      <c r="Q20" s="82"/>
      <c r="R20" s="82"/>
      <c r="S20" s="82"/>
      <c r="T20" s="82"/>
      <c r="U20" s="82"/>
      <c r="V20" s="82"/>
      <c r="W20" s="84"/>
    </row>
    <row r="21" spans="1:23" ht="17.25" customHeight="1" thickBot="1" x14ac:dyDescent="0.3">
      <c r="A21" s="34"/>
      <c r="B21" s="34"/>
      <c r="C21" s="85"/>
      <c r="D21" s="85"/>
      <c r="E21" s="85"/>
      <c r="F21" s="85"/>
      <c r="G21" s="86"/>
      <c r="H21" s="86"/>
      <c r="I21" s="86"/>
      <c r="J21" s="86"/>
      <c r="K21" s="239" t="s">
        <v>65</v>
      </c>
      <c r="L21" s="184">
        <v>4000</v>
      </c>
      <c r="M21" s="242"/>
      <c r="N21" s="242"/>
      <c r="O21" s="242"/>
      <c r="P21" s="242"/>
      <c r="Q21" s="242"/>
      <c r="R21" s="86"/>
      <c r="S21" s="86"/>
      <c r="T21" s="86"/>
      <c r="U21" s="86"/>
      <c r="V21" s="86"/>
      <c r="W21" s="87"/>
    </row>
    <row r="22" spans="1:23" ht="17.25" customHeight="1" thickBot="1" x14ac:dyDescent="0.3">
      <c r="A22" s="3" t="s">
        <v>45</v>
      </c>
      <c r="B22" s="3"/>
      <c r="C22" s="88">
        <v>44317</v>
      </c>
      <c r="D22" s="85"/>
      <c r="E22" s="85"/>
      <c r="F22" s="89"/>
      <c r="G22" s="250"/>
      <c r="H22" s="90"/>
      <c r="I22" s="90"/>
      <c r="J22" s="90"/>
      <c r="K22" s="239" t="s">
        <v>74</v>
      </c>
      <c r="L22" s="184">
        <v>500</v>
      </c>
      <c r="M22" s="253" t="s">
        <v>90</v>
      </c>
      <c r="N22" s="254"/>
      <c r="O22" s="133">
        <v>43891</v>
      </c>
      <c r="P22" s="132" t="s">
        <v>91</v>
      </c>
      <c r="Q22" s="133">
        <v>44255</v>
      </c>
      <c r="R22" s="90"/>
      <c r="S22" s="90"/>
      <c r="T22" s="90"/>
      <c r="U22" s="90"/>
      <c r="V22" s="90"/>
      <c r="W22" s="87"/>
    </row>
    <row r="23" spans="1:23" ht="17.25" customHeight="1" x14ac:dyDescent="0.25">
      <c r="A23" s="94"/>
      <c r="B23" s="95" t="s">
        <v>59</v>
      </c>
      <c r="C23" s="96" t="str">
        <f>TEXT(C22,"mmmm aa")</f>
        <v>mai 21</v>
      </c>
      <c r="D23" s="96">
        <f>EDATE(C23,1)</f>
        <v>44348</v>
      </c>
      <c r="E23" s="96">
        <f t="shared" ref="E23:V23" si="0">EDATE(D23,1)</f>
        <v>44378</v>
      </c>
      <c r="F23" s="96">
        <f t="shared" si="0"/>
        <v>44409</v>
      </c>
      <c r="G23" s="96">
        <f t="shared" si="0"/>
        <v>44440</v>
      </c>
      <c r="H23" s="96">
        <f t="shared" si="0"/>
        <v>44470</v>
      </c>
      <c r="I23" s="96">
        <f t="shared" si="0"/>
        <v>44501</v>
      </c>
      <c r="J23" s="96">
        <f t="shared" si="0"/>
        <v>44531</v>
      </c>
      <c r="K23" s="96">
        <f t="shared" si="0"/>
        <v>44562</v>
      </c>
      <c r="L23" s="96">
        <f t="shared" si="0"/>
        <v>44593</v>
      </c>
      <c r="M23" s="96">
        <f t="shared" si="0"/>
        <v>44621</v>
      </c>
      <c r="N23" s="96">
        <f t="shared" si="0"/>
        <v>44652</v>
      </c>
      <c r="O23" s="96">
        <f t="shared" si="0"/>
        <v>44682</v>
      </c>
      <c r="P23" s="96">
        <f t="shared" si="0"/>
        <v>44713</v>
      </c>
      <c r="Q23" s="96">
        <f t="shared" si="0"/>
        <v>44743</v>
      </c>
      <c r="R23" s="96">
        <f t="shared" si="0"/>
        <v>44774</v>
      </c>
      <c r="S23" s="96">
        <f t="shared" si="0"/>
        <v>44805</v>
      </c>
      <c r="T23" s="96">
        <f t="shared" si="0"/>
        <v>44835</v>
      </c>
      <c r="U23" s="96">
        <f t="shared" si="0"/>
        <v>44866</v>
      </c>
      <c r="V23" s="96">
        <f t="shared" si="0"/>
        <v>44896</v>
      </c>
      <c r="W23" s="91" t="s">
        <v>12</v>
      </c>
    </row>
    <row r="24" spans="1:23" ht="17.25" hidden="1" customHeight="1" x14ac:dyDescent="0.25">
      <c r="A24" s="10"/>
      <c r="B24" s="56"/>
      <c r="C24" s="40">
        <f>MONTH(C23)</f>
        <v>5</v>
      </c>
      <c r="D24" s="40">
        <f>MONTH(D23)</f>
        <v>6</v>
      </c>
      <c r="E24" s="40">
        <f t="shared" ref="E24:V24" si="1">MONTH(E23)</f>
        <v>7</v>
      </c>
      <c r="F24" s="40">
        <f t="shared" si="1"/>
        <v>8</v>
      </c>
      <c r="G24" s="40">
        <f t="shared" si="1"/>
        <v>9</v>
      </c>
      <c r="H24" s="40">
        <f t="shared" si="1"/>
        <v>10</v>
      </c>
      <c r="I24" s="40">
        <f t="shared" si="1"/>
        <v>11</v>
      </c>
      <c r="J24" s="40">
        <f t="shared" si="1"/>
        <v>12</v>
      </c>
      <c r="K24" s="40">
        <f t="shared" si="1"/>
        <v>1</v>
      </c>
      <c r="L24" s="40">
        <f t="shared" si="1"/>
        <v>2</v>
      </c>
      <c r="M24" s="40">
        <f t="shared" si="1"/>
        <v>3</v>
      </c>
      <c r="N24" s="40">
        <f t="shared" si="1"/>
        <v>4</v>
      </c>
      <c r="O24" s="40">
        <f t="shared" si="1"/>
        <v>5</v>
      </c>
      <c r="P24" s="40">
        <f t="shared" si="1"/>
        <v>6</v>
      </c>
      <c r="Q24" s="40">
        <f t="shared" si="1"/>
        <v>7</v>
      </c>
      <c r="R24" s="40">
        <f t="shared" si="1"/>
        <v>8</v>
      </c>
      <c r="S24" s="40">
        <f t="shared" si="1"/>
        <v>9</v>
      </c>
      <c r="T24" s="40">
        <f t="shared" si="1"/>
        <v>10</v>
      </c>
      <c r="U24" s="40">
        <f t="shared" si="1"/>
        <v>11</v>
      </c>
      <c r="V24" s="40">
        <f t="shared" si="1"/>
        <v>12</v>
      </c>
      <c r="W24" s="39"/>
    </row>
    <row r="25" spans="1:23" ht="17.25" customHeight="1" x14ac:dyDescent="0.25">
      <c r="A25" s="14" t="s">
        <v>13</v>
      </c>
      <c r="B25" s="57"/>
      <c r="C25" s="68">
        <v>500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70"/>
      <c r="P25" s="70"/>
      <c r="Q25" s="70"/>
      <c r="R25" s="70"/>
      <c r="S25" s="70"/>
      <c r="T25" s="70"/>
      <c r="U25" s="70"/>
      <c r="V25" s="70"/>
      <c r="W25" s="71"/>
    </row>
    <row r="26" spans="1:23" ht="17.25" customHeight="1" x14ac:dyDescent="0.25">
      <c r="A26" s="16" t="s">
        <v>14</v>
      </c>
      <c r="B26" s="58"/>
      <c r="C26" s="72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1"/>
    </row>
    <row r="27" spans="1:23" ht="17.25" customHeight="1" x14ac:dyDescent="0.25">
      <c r="A27" s="31" t="s">
        <v>61</v>
      </c>
      <c r="B27" s="59">
        <v>10</v>
      </c>
      <c r="C27" s="73"/>
      <c r="D27" s="73"/>
      <c r="E27" s="73"/>
      <c r="F27" s="73"/>
      <c r="G27" s="73"/>
      <c r="H27" s="73"/>
      <c r="I27" s="74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5">
        <f t="shared" ref="W27:W32" si="2">SUM(C27:V27)</f>
        <v>0</v>
      </c>
    </row>
    <row r="28" spans="1:23" ht="17.25" customHeight="1" x14ac:dyDescent="0.25">
      <c r="A28" s="31" t="s">
        <v>60</v>
      </c>
      <c r="B28" s="59">
        <v>20</v>
      </c>
      <c r="C28" s="73"/>
      <c r="D28" s="73"/>
      <c r="E28" s="73"/>
      <c r="F28" s="73"/>
      <c r="G28" s="73"/>
      <c r="H28" s="73"/>
      <c r="I28" s="74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5">
        <f t="shared" si="2"/>
        <v>0</v>
      </c>
    </row>
    <row r="29" spans="1:23" ht="17.25" customHeight="1" x14ac:dyDescent="0.25">
      <c r="A29" s="15" t="s">
        <v>41</v>
      </c>
      <c r="B29" s="59">
        <v>20</v>
      </c>
      <c r="C29" s="73"/>
      <c r="D29" s="73"/>
      <c r="E29" s="73"/>
      <c r="F29" s="73"/>
      <c r="G29" s="73"/>
      <c r="H29" s="73"/>
      <c r="I29" s="74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5">
        <f t="shared" si="2"/>
        <v>0</v>
      </c>
    </row>
    <row r="30" spans="1:23" ht="17.25" customHeight="1" x14ac:dyDescent="0.25">
      <c r="A30" s="15" t="s">
        <v>43</v>
      </c>
      <c r="B30" s="59">
        <v>20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5">
        <f t="shared" si="2"/>
        <v>0</v>
      </c>
    </row>
    <row r="31" spans="1:23" ht="17.25" customHeight="1" x14ac:dyDescent="0.25">
      <c r="A31" s="15" t="s">
        <v>39</v>
      </c>
      <c r="B31" s="59">
        <v>20</v>
      </c>
      <c r="C31" s="73"/>
      <c r="D31" s="73"/>
      <c r="E31" s="73"/>
      <c r="F31" s="73"/>
      <c r="G31" s="73"/>
      <c r="H31" s="73"/>
      <c r="I31" s="74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5">
        <f t="shared" si="2"/>
        <v>0</v>
      </c>
    </row>
    <row r="32" spans="1:23" ht="17.25" customHeight="1" x14ac:dyDescent="0.25">
      <c r="A32" s="15" t="s">
        <v>57</v>
      </c>
      <c r="B32" s="59">
        <v>20</v>
      </c>
      <c r="C32" s="73">
        <v>1000</v>
      </c>
      <c r="D32" s="73"/>
      <c r="E32" s="73"/>
      <c r="F32" s="73"/>
      <c r="G32" s="73"/>
      <c r="H32" s="73"/>
      <c r="I32" s="74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5">
        <f t="shared" si="2"/>
        <v>1000</v>
      </c>
    </row>
    <row r="33" spans="1:23" ht="17.25" customHeight="1" x14ac:dyDescent="0.25">
      <c r="A33" s="42"/>
      <c r="B33" s="60"/>
      <c r="C33" s="73"/>
      <c r="D33" s="73"/>
      <c r="E33" s="73"/>
      <c r="F33" s="73"/>
      <c r="G33" s="73"/>
      <c r="H33" s="73"/>
      <c r="I33" s="74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5"/>
    </row>
    <row r="34" spans="1:23" ht="17.25" customHeight="1" x14ac:dyDescent="0.25">
      <c r="A34" s="42"/>
      <c r="B34" s="60"/>
      <c r="C34" s="73"/>
      <c r="D34" s="73"/>
      <c r="E34" s="73"/>
      <c r="F34" s="73"/>
      <c r="G34" s="73"/>
      <c r="H34" s="73"/>
      <c r="I34" s="74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5"/>
    </row>
    <row r="35" spans="1:23" ht="17.25" customHeight="1" x14ac:dyDescent="0.25">
      <c r="A35" s="42"/>
      <c r="B35" s="60"/>
      <c r="C35" s="73"/>
      <c r="D35" s="73"/>
      <c r="E35" s="73"/>
      <c r="F35" s="73"/>
      <c r="G35" s="73"/>
      <c r="H35" s="73"/>
      <c r="I35" s="74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5"/>
    </row>
    <row r="36" spans="1:23" ht="17.25" customHeight="1" x14ac:dyDescent="0.25">
      <c r="A36" s="17"/>
      <c r="B36" s="58"/>
      <c r="C36" s="72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6"/>
      <c r="O36" s="76"/>
      <c r="P36" s="76"/>
      <c r="Q36" s="76"/>
      <c r="R36" s="76"/>
      <c r="S36" s="76"/>
      <c r="T36" s="76"/>
      <c r="U36" s="76"/>
      <c r="V36" s="76"/>
      <c r="W36" s="75">
        <f>SUM(W27:W35)</f>
        <v>1000</v>
      </c>
    </row>
    <row r="37" spans="1:23" ht="17.25" customHeight="1" x14ac:dyDescent="0.25">
      <c r="A37" s="15" t="s">
        <v>44</v>
      </c>
      <c r="B37" s="59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5">
        <f>SUM(C37:V37)</f>
        <v>0</v>
      </c>
    </row>
    <row r="38" spans="1:23" ht="17.25" customHeight="1" x14ac:dyDescent="0.25">
      <c r="A38" s="15" t="s">
        <v>15</v>
      </c>
      <c r="B38" s="59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5">
        <f>SUM(C38:V38)</f>
        <v>0</v>
      </c>
    </row>
    <row r="39" spans="1:23" ht="17.25" customHeight="1" x14ac:dyDescent="0.25">
      <c r="A39" s="15" t="s">
        <v>16</v>
      </c>
      <c r="B39" s="59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5">
        <f>SUM(C39:V39)</f>
        <v>0</v>
      </c>
    </row>
    <row r="40" spans="1:23" ht="17.25" customHeight="1" x14ac:dyDescent="0.25">
      <c r="A40" s="15" t="s">
        <v>29</v>
      </c>
      <c r="B40" s="59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5">
        <f>SUM(C40:V40)</f>
        <v>0</v>
      </c>
    </row>
    <row r="41" spans="1:23" ht="17.25" customHeight="1" thickBot="1" x14ac:dyDescent="0.3">
      <c r="A41" s="15"/>
      <c r="B41" s="59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7"/>
    </row>
    <row r="42" spans="1:23" ht="17.25" customHeight="1" thickBot="1" x14ac:dyDescent="0.3">
      <c r="A42" s="97" t="s">
        <v>17</v>
      </c>
      <c r="B42" s="98"/>
      <c r="C42" s="99">
        <f t="shared" ref="C42:N42" si="3">SUM(C27:C40)</f>
        <v>1000</v>
      </c>
      <c r="D42" s="99">
        <f t="shared" si="3"/>
        <v>0</v>
      </c>
      <c r="E42" s="99">
        <f t="shared" si="3"/>
        <v>0</v>
      </c>
      <c r="F42" s="99">
        <f t="shared" si="3"/>
        <v>0</v>
      </c>
      <c r="G42" s="99">
        <f t="shared" si="3"/>
        <v>0</v>
      </c>
      <c r="H42" s="99">
        <f t="shared" si="3"/>
        <v>0</v>
      </c>
      <c r="I42" s="99">
        <f t="shared" si="3"/>
        <v>0</v>
      </c>
      <c r="J42" s="99">
        <f t="shared" si="3"/>
        <v>0</v>
      </c>
      <c r="K42" s="99">
        <f t="shared" si="3"/>
        <v>0</v>
      </c>
      <c r="L42" s="99">
        <f t="shared" si="3"/>
        <v>0</v>
      </c>
      <c r="M42" s="99">
        <f t="shared" si="3"/>
        <v>0</v>
      </c>
      <c r="N42" s="99">
        <f t="shared" si="3"/>
        <v>0</v>
      </c>
      <c r="O42" s="99"/>
      <c r="P42" s="99"/>
      <c r="Q42" s="99"/>
      <c r="R42" s="99"/>
      <c r="S42" s="99"/>
      <c r="T42" s="99"/>
      <c r="U42" s="99"/>
      <c r="V42" s="99"/>
      <c r="W42" s="78">
        <f>SUM(C42:N42)</f>
        <v>1000</v>
      </c>
    </row>
    <row r="43" spans="1:23" ht="17.25" customHeight="1" x14ac:dyDescent="0.25">
      <c r="A43" s="16" t="s">
        <v>18</v>
      </c>
      <c r="B43" s="58"/>
      <c r="C43" s="72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1"/>
    </row>
    <row r="44" spans="1:23" ht="17.25" customHeight="1" x14ac:dyDescent="0.25">
      <c r="A44" s="15" t="s">
        <v>47</v>
      </c>
      <c r="B44" s="59">
        <v>20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5">
        <f>SUM(C44:N44)</f>
        <v>0</v>
      </c>
    </row>
    <row r="45" spans="1:23" ht="17.25" customHeight="1" x14ac:dyDescent="0.25">
      <c r="A45" s="15" t="s">
        <v>62</v>
      </c>
      <c r="B45" s="59">
        <v>10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5">
        <f t="shared" ref="W45:W71" si="4">SUM(C45:N45)</f>
        <v>0</v>
      </c>
    </row>
    <row r="46" spans="1:23" ht="17.25" customHeight="1" x14ac:dyDescent="0.25">
      <c r="A46" s="15" t="s">
        <v>50</v>
      </c>
      <c r="B46" s="59">
        <v>20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5">
        <f t="shared" si="4"/>
        <v>0</v>
      </c>
    </row>
    <row r="47" spans="1:23" ht="17.25" customHeight="1" x14ac:dyDescent="0.25">
      <c r="A47" s="15" t="s">
        <v>52</v>
      </c>
      <c r="B47" s="59">
        <v>20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5">
        <f t="shared" si="4"/>
        <v>0</v>
      </c>
    </row>
    <row r="48" spans="1:23" ht="17.25" customHeight="1" x14ac:dyDescent="0.25">
      <c r="A48" s="15" t="s">
        <v>30</v>
      </c>
      <c r="B48" s="59">
        <v>20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5">
        <f t="shared" si="4"/>
        <v>0</v>
      </c>
    </row>
    <row r="49" spans="1:23" ht="17.25" customHeight="1" x14ac:dyDescent="0.25">
      <c r="A49" s="15" t="s">
        <v>46</v>
      </c>
      <c r="B49" s="59">
        <v>5.5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5">
        <f t="shared" si="4"/>
        <v>0</v>
      </c>
    </row>
    <row r="50" spans="1:23" ht="17.25" customHeight="1" x14ac:dyDescent="0.25">
      <c r="A50" s="15" t="s">
        <v>48</v>
      </c>
      <c r="B50" s="59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5">
        <f t="shared" si="4"/>
        <v>0</v>
      </c>
    </row>
    <row r="51" spans="1:23" ht="17.25" customHeight="1" x14ac:dyDescent="0.25">
      <c r="A51" s="15" t="s">
        <v>31</v>
      </c>
      <c r="B51" s="59">
        <v>20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5">
        <f t="shared" si="4"/>
        <v>0</v>
      </c>
    </row>
    <row r="52" spans="1:23" ht="17.25" customHeight="1" x14ac:dyDescent="0.25">
      <c r="A52" s="15" t="s">
        <v>32</v>
      </c>
      <c r="B52" s="59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5">
        <f t="shared" si="4"/>
        <v>0</v>
      </c>
    </row>
    <row r="53" spans="1:23" ht="17.25" customHeight="1" x14ac:dyDescent="0.25">
      <c r="A53" s="15" t="s">
        <v>49</v>
      </c>
      <c r="B53" s="59">
        <v>20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5">
        <f t="shared" si="4"/>
        <v>0</v>
      </c>
    </row>
    <row r="54" spans="1:23" ht="17.25" customHeight="1" x14ac:dyDescent="0.25">
      <c r="A54" s="15" t="s">
        <v>51</v>
      </c>
      <c r="B54" s="59">
        <v>20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5">
        <f t="shared" si="4"/>
        <v>0</v>
      </c>
    </row>
    <row r="55" spans="1:23" ht="17.25" customHeight="1" x14ac:dyDescent="0.25">
      <c r="A55" s="15" t="s">
        <v>40</v>
      </c>
      <c r="B55" s="59">
        <v>20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5">
        <f t="shared" si="4"/>
        <v>0</v>
      </c>
    </row>
    <row r="56" spans="1:23" ht="17.25" customHeight="1" x14ac:dyDescent="0.25">
      <c r="A56" s="15" t="s">
        <v>53</v>
      </c>
      <c r="B56" s="59">
        <v>20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5">
        <f t="shared" si="4"/>
        <v>0</v>
      </c>
    </row>
    <row r="57" spans="1:23" ht="17.25" customHeight="1" x14ac:dyDescent="0.25">
      <c r="A57" s="15" t="s">
        <v>33</v>
      </c>
      <c r="B57" s="59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5">
        <f t="shared" si="4"/>
        <v>0</v>
      </c>
    </row>
    <row r="58" spans="1:23" ht="17.25" customHeight="1" x14ac:dyDescent="0.25">
      <c r="A58" s="15" t="s">
        <v>54</v>
      </c>
      <c r="B58" s="59">
        <v>20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5">
        <f t="shared" si="4"/>
        <v>0</v>
      </c>
    </row>
    <row r="59" spans="1:23" ht="17.25" customHeight="1" x14ac:dyDescent="0.25">
      <c r="A59" s="15" t="s">
        <v>55</v>
      </c>
      <c r="B59" s="59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5">
        <f t="shared" si="4"/>
        <v>0</v>
      </c>
    </row>
    <row r="60" spans="1:23" ht="17.25" customHeight="1" x14ac:dyDescent="0.25">
      <c r="A60" s="15" t="s">
        <v>35</v>
      </c>
      <c r="B60" s="59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5">
        <f t="shared" si="4"/>
        <v>0</v>
      </c>
    </row>
    <row r="61" spans="1:23" ht="17.25" customHeight="1" x14ac:dyDescent="0.25">
      <c r="B61" s="36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5">
        <f t="shared" si="4"/>
        <v>0</v>
      </c>
    </row>
    <row r="62" spans="1:23" ht="17.25" customHeight="1" x14ac:dyDescent="0.25">
      <c r="A62" s="15" t="s">
        <v>36</v>
      </c>
      <c r="B62" s="59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5">
        <f t="shared" si="4"/>
        <v>0</v>
      </c>
    </row>
    <row r="63" spans="1:23" ht="17.25" customHeight="1" x14ac:dyDescent="0.25">
      <c r="A63" s="15" t="s">
        <v>34</v>
      </c>
      <c r="B63" s="59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5">
        <f t="shared" si="4"/>
        <v>0</v>
      </c>
    </row>
    <row r="64" spans="1:23" ht="17.25" customHeight="1" x14ac:dyDescent="0.25">
      <c r="A64" s="43"/>
      <c r="B64" s="61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5">
        <f t="shared" si="4"/>
        <v>0</v>
      </c>
    </row>
    <row r="65" spans="1:23" ht="17.25" customHeight="1" x14ac:dyDescent="0.25">
      <c r="A65" s="43"/>
      <c r="B65" s="61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5">
        <f t="shared" si="4"/>
        <v>0</v>
      </c>
    </row>
    <row r="66" spans="1:23" ht="17.25" customHeight="1" x14ac:dyDescent="0.25">
      <c r="A66" s="43"/>
      <c r="B66" s="61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5">
        <f t="shared" si="4"/>
        <v>0</v>
      </c>
    </row>
    <row r="67" spans="1:23" ht="17.25" customHeight="1" x14ac:dyDescent="0.25">
      <c r="A67" s="44"/>
      <c r="B67" s="55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5">
        <f t="shared" si="4"/>
        <v>0</v>
      </c>
    </row>
    <row r="68" spans="1:23" ht="17.25" customHeight="1" x14ac:dyDescent="0.25">
      <c r="A68" s="15"/>
      <c r="B68" s="59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5">
        <f t="shared" si="4"/>
        <v>0</v>
      </c>
    </row>
    <row r="69" spans="1:23" ht="17.25" customHeight="1" x14ac:dyDescent="0.25">
      <c r="A69" s="15" t="s">
        <v>37</v>
      </c>
      <c r="B69" s="59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5">
        <f t="shared" si="4"/>
        <v>0</v>
      </c>
    </row>
    <row r="70" spans="1:23" ht="17.25" customHeight="1" x14ac:dyDescent="0.25">
      <c r="A70" s="15" t="s">
        <v>38</v>
      </c>
      <c r="B70" s="59">
        <v>20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5">
        <f t="shared" si="4"/>
        <v>0</v>
      </c>
    </row>
    <row r="71" spans="1:23" ht="17.25" customHeight="1" thickBot="1" x14ac:dyDescent="0.3">
      <c r="A71" s="15" t="s">
        <v>56</v>
      </c>
      <c r="B71" s="59"/>
      <c r="C71" s="76" t="str">
        <f>IF($G$22&gt;1000,IF(C24=5,$G$22*0.2,IF(C24=8,$G$22*0.2,IF(C24=11,$G$22*0.2,IF(C24=2,$G$22*0.2,"")))),"")</f>
        <v/>
      </c>
      <c r="D71" s="76">
        <f>IF($G$22&gt;1000,IF(D24=5,$G$22*0.2,IF(D24=8,$G$22*0.2,IF(D24=11,$G$22*0.2,IF(D24=2,$G$22*0.2,0)))),0)</f>
        <v>0</v>
      </c>
      <c r="E71" s="76">
        <f t="shared" ref="E71:V71" si="5">IF($G$22&gt;1000,IF(E24=5,$G$22*0.2,IF(E24=8,$G$22*0.2,IF(E24=11,$G$22*0.2,IF(E24=2,$G$22*0.2,0)))),0)</f>
        <v>0</v>
      </c>
      <c r="F71" s="76">
        <f t="shared" si="5"/>
        <v>0</v>
      </c>
      <c r="G71" s="76">
        <f t="shared" si="5"/>
        <v>0</v>
      </c>
      <c r="H71" s="76">
        <f t="shared" si="5"/>
        <v>0</v>
      </c>
      <c r="I71" s="76">
        <f t="shared" si="5"/>
        <v>0</v>
      </c>
      <c r="J71" s="76">
        <f t="shared" si="5"/>
        <v>0</v>
      </c>
      <c r="K71" s="76">
        <f t="shared" si="5"/>
        <v>0</v>
      </c>
      <c r="L71" s="76">
        <f t="shared" si="5"/>
        <v>0</v>
      </c>
      <c r="M71" s="76">
        <f t="shared" si="5"/>
        <v>0</v>
      </c>
      <c r="N71" s="76">
        <f t="shared" si="5"/>
        <v>0</v>
      </c>
      <c r="O71" s="76">
        <f t="shared" si="5"/>
        <v>0</v>
      </c>
      <c r="P71" s="76">
        <f t="shared" si="5"/>
        <v>0</v>
      </c>
      <c r="Q71" s="76">
        <f t="shared" si="5"/>
        <v>0</v>
      </c>
      <c r="R71" s="76">
        <f t="shared" si="5"/>
        <v>0</v>
      </c>
      <c r="S71" s="76">
        <f t="shared" si="5"/>
        <v>0</v>
      </c>
      <c r="T71" s="76">
        <f t="shared" si="5"/>
        <v>0</v>
      </c>
      <c r="U71" s="76">
        <f t="shared" si="5"/>
        <v>0</v>
      </c>
      <c r="V71" s="76">
        <f t="shared" si="5"/>
        <v>0</v>
      </c>
      <c r="W71" s="75">
        <f t="shared" si="4"/>
        <v>0</v>
      </c>
    </row>
    <row r="72" spans="1:23" ht="17.25" customHeight="1" thickBot="1" x14ac:dyDescent="0.3">
      <c r="A72" s="97" t="s">
        <v>19</v>
      </c>
      <c r="B72" s="100"/>
      <c r="C72" s="99">
        <f>SUM(C44:C71)</f>
        <v>0</v>
      </c>
      <c r="D72" s="99">
        <f t="shared" ref="D72:V72" si="6">SUM(D44:D71)</f>
        <v>0</v>
      </c>
      <c r="E72" s="99">
        <f t="shared" si="6"/>
        <v>0</v>
      </c>
      <c r="F72" s="99">
        <f t="shared" si="6"/>
        <v>0</v>
      </c>
      <c r="G72" s="99">
        <f t="shared" si="6"/>
        <v>0</v>
      </c>
      <c r="H72" s="99">
        <f t="shared" si="6"/>
        <v>0</v>
      </c>
      <c r="I72" s="99">
        <f t="shared" si="6"/>
        <v>0</v>
      </c>
      <c r="J72" s="99">
        <f t="shared" si="6"/>
        <v>0</v>
      </c>
      <c r="K72" s="99">
        <f t="shared" si="6"/>
        <v>0</v>
      </c>
      <c r="L72" s="99">
        <f t="shared" si="6"/>
        <v>0</v>
      </c>
      <c r="M72" s="99">
        <f t="shared" si="6"/>
        <v>0</v>
      </c>
      <c r="N72" s="99">
        <f t="shared" si="6"/>
        <v>0</v>
      </c>
      <c r="O72" s="99">
        <f t="shared" si="6"/>
        <v>0</v>
      </c>
      <c r="P72" s="99">
        <f t="shared" si="6"/>
        <v>0</v>
      </c>
      <c r="Q72" s="99">
        <f t="shared" si="6"/>
        <v>0</v>
      </c>
      <c r="R72" s="99">
        <f t="shared" si="6"/>
        <v>0</v>
      </c>
      <c r="S72" s="99">
        <f t="shared" si="6"/>
        <v>0</v>
      </c>
      <c r="T72" s="99">
        <f t="shared" si="6"/>
        <v>0</v>
      </c>
      <c r="U72" s="99">
        <f t="shared" si="6"/>
        <v>0</v>
      </c>
      <c r="V72" s="99">
        <f t="shared" si="6"/>
        <v>0</v>
      </c>
      <c r="W72" s="78">
        <f>SUM(C72:N72)</f>
        <v>0</v>
      </c>
    </row>
    <row r="73" spans="1:23" ht="17.25" customHeight="1" x14ac:dyDescent="0.25">
      <c r="A73" s="101" t="s">
        <v>20</v>
      </c>
      <c r="B73" s="102"/>
      <c r="C73" s="103">
        <f t="shared" ref="C73:N73" si="7">C42-C72</f>
        <v>1000</v>
      </c>
      <c r="D73" s="103">
        <f t="shared" si="7"/>
        <v>0</v>
      </c>
      <c r="E73" s="103">
        <f t="shared" si="7"/>
        <v>0</v>
      </c>
      <c r="F73" s="103">
        <f t="shared" si="7"/>
        <v>0</v>
      </c>
      <c r="G73" s="103">
        <f t="shared" si="7"/>
        <v>0</v>
      </c>
      <c r="H73" s="103">
        <f t="shared" si="7"/>
        <v>0</v>
      </c>
      <c r="I73" s="103">
        <f t="shared" si="7"/>
        <v>0</v>
      </c>
      <c r="J73" s="103">
        <f t="shared" si="7"/>
        <v>0</v>
      </c>
      <c r="K73" s="103">
        <f t="shared" si="7"/>
        <v>0</v>
      </c>
      <c r="L73" s="103">
        <f t="shared" si="7"/>
        <v>0</v>
      </c>
      <c r="M73" s="103">
        <f t="shared" si="7"/>
        <v>0</v>
      </c>
      <c r="N73" s="103">
        <f t="shared" si="7"/>
        <v>0</v>
      </c>
      <c r="O73" s="103">
        <f t="shared" ref="O73:V73" si="8">O42-O72</f>
        <v>0</v>
      </c>
      <c r="P73" s="103">
        <f t="shared" si="8"/>
        <v>0</v>
      </c>
      <c r="Q73" s="103">
        <f t="shared" si="8"/>
        <v>0</v>
      </c>
      <c r="R73" s="103">
        <f t="shared" si="8"/>
        <v>0</v>
      </c>
      <c r="S73" s="103">
        <f t="shared" si="8"/>
        <v>0</v>
      </c>
      <c r="T73" s="103">
        <f t="shared" si="8"/>
        <v>0</v>
      </c>
      <c r="U73" s="103">
        <f t="shared" si="8"/>
        <v>0</v>
      </c>
      <c r="V73" s="103">
        <f t="shared" si="8"/>
        <v>0</v>
      </c>
      <c r="W73" s="79"/>
    </row>
    <row r="74" spans="1:23" ht="17.25" customHeight="1" x14ac:dyDescent="0.25">
      <c r="A74" s="104"/>
      <c r="B74" s="105"/>
      <c r="C74" s="106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79"/>
    </row>
    <row r="75" spans="1:23" ht="17.25" customHeight="1" x14ac:dyDescent="0.25">
      <c r="A75" s="101" t="s">
        <v>58</v>
      </c>
      <c r="B75" s="102"/>
      <c r="C75" s="108">
        <f>C25+C73</f>
        <v>1500</v>
      </c>
      <c r="D75" s="109">
        <f>C75+D73</f>
        <v>1500</v>
      </c>
      <c r="E75" s="109">
        <f t="shared" ref="E75:N75" si="9">D75+E73</f>
        <v>1500</v>
      </c>
      <c r="F75" s="109">
        <f t="shared" si="9"/>
        <v>1500</v>
      </c>
      <c r="G75" s="109">
        <f t="shared" si="9"/>
        <v>1500</v>
      </c>
      <c r="H75" s="109">
        <f t="shared" si="9"/>
        <v>1500</v>
      </c>
      <c r="I75" s="109">
        <f t="shared" si="9"/>
        <v>1500</v>
      </c>
      <c r="J75" s="109">
        <f t="shared" si="9"/>
        <v>1500</v>
      </c>
      <c r="K75" s="109">
        <f t="shared" si="9"/>
        <v>1500</v>
      </c>
      <c r="L75" s="109">
        <f t="shared" si="9"/>
        <v>1500</v>
      </c>
      <c r="M75" s="109">
        <f t="shared" si="9"/>
        <v>1500</v>
      </c>
      <c r="N75" s="109">
        <f t="shared" si="9"/>
        <v>1500</v>
      </c>
      <c r="O75" s="109">
        <f t="shared" ref="O75:V75" si="10">N75+O73</f>
        <v>1500</v>
      </c>
      <c r="P75" s="109">
        <f t="shared" si="10"/>
        <v>1500</v>
      </c>
      <c r="Q75" s="109">
        <f t="shared" si="10"/>
        <v>1500</v>
      </c>
      <c r="R75" s="109">
        <f t="shared" si="10"/>
        <v>1500</v>
      </c>
      <c r="S75" s="109">
        <f t="shared" si="10"/>
        <v>1500</v>
      </c>
      <c r="T75" s="109">
        <f t="shared" si="10"/>
        <v>1500</v>
      </c>
      <c r="U75" s="109">
        <f t="shared" si="10"/>
        <v>1500</v>
      </c>
      <c r="V75" s="109">
        <f t="shared" si="10"/>
        <v>1500</v>
      </c>
      <c r="W75" s="80"/>
    </row>
    <row r="76" spans="1:23" ht="11.25" customHeight="1" x14ac:dyDescent="0.2"/>
    <row r="77" spans="1:23" ht="21.75" hidden="1" customHeight="1" x14ac:dyDescent="0.25">
      <c r="A77" s="10">
        <f ca="1">TODAY()</f>
        <v>44334</v>
      </c>
      <c r="B77" s="56"/>
      <c r="C77" s="11" t="s">
        <v>6</v>
      </c>
      <c r="D77" s="11" t="s">
        <v>7</v>
      </c>
      <c r="E77" s="11" t="s">
        <v>8</v>
      </c>
      <c r="F77" s="11" t="s">
        <v>9</v>
      </c>
      <c r="G77" s="11" t="s">
        <v>10</v>
      </c>
      <c r="H77" s="11" t="s">
        <v>11</v>
      </c>
      <c r="I77" s="11" t="s">
        <v>1</v>
      </c>
      <c r="J77" s="11" t="s">
        <v>2</v>
      </c>
      <c r="K77" s="11" t="s">
        <v>3</v>
      </c>
      <c r="L77" s="11" t="s">
        <v>4</v>
      </c>
      <c r="M77" s="11" t="s">
        <v>5</v>
      </c>
      <c r="N77" s="11" t="s">
        <v>42</v>
      </c>
      <c r="O77" s="11"/>
      <c r="P77" s="11"/>
      <c r="Q77" s="11"/>
      <c r="R77" s="11"/>
      <c r="S77" s="11"/>
      <c r="T77" s="11"/>
      <c r="U77" s="11"/>
      <c r="V77" s="11"/>
      <c r="W77" s="12" t="s">
        <v>12</v>
      </c>
    </row>
    <row r="78" spans="1:23" ht="9" hidden="1" customHeight="1" x14ac:dyDescent="0.25">
      <c r="A78" s="18"/>
      <c r="B78" s="62"/>
      <c r="C78" s="6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9"/>
    </row>
    <row r="79" spans="1:23" ht="21.75" hidden="1" customHeight="1" x14ac:dyDescent="0.25">
      <c r="A79" s="20" t="s">
        <v>22</v>
      </c>
      <c r="B79" s="63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2"/>
    </row>
    <row r="80" spans="1:23" ht="21.75" hidden="1" customHeight="1" x14ac:dyDescent="0.25">
      <c r="A80" s="14" t="s">
        <v>25</v>
      </c>
      <c r="B80" s="64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21">
        <f>SUM(C80:N80)</f>
        <v>0</v>
      </c>
    </row>
    <row r="81" spans="1:23" ht="21.75" hidden="1" customHeight="1" x14ac:dyDescent="0.25">
      <c r="A81" s="14" t="s">
        <v>26</v>
      </c>
      <c r="B81" s="64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>
        <v>11000</v>
      </c>
      <c r="O81" s="33"/>
      <c r="P81" s="33"/>
      <c r="Q81" s="33"/>
      <c r="R81" s="33"/>
      <c r="S81" s="33"/>
      <c r="T81" s="33"/>
      <c r="U81" s="33"/>
      <c r="V81" s="33"/>
      <c r="W81" s="21">
        <f>SUM(C81:N81)</f>
        <v>11000</v>
      </c>
    </row>
    <row r="82" spans="1:23" ht="12.75" hidden="1" customHeight="1" x14ac:dyDescent="0.25">
      <c r="A82" s="14"/>
      <c r="B82" s="64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3" t="str">
        <f>IF(W81&gt;=W80, "CT OK","Attention")</f>
        <v>CT OK</v>
      </c>
    </row>
    <row r="83" spans="1:23" ht="21.75" hidden="1" customHeight="1" x14ac:dyDescent="0.25">
      <c r="A83" s="32" t="s">
        <v>27</v>
      </c>
      <c r="B83" s="65"/>
      <c r="C83" s="25">
        <f>C75+C80-C81</f>
        <v>1500</v>
      </c>
      <c r="D83" s="25">
        <f t="shared" ref="D83:N83" si="11">C83+D73+D80-D81</f>
        <v>1500</v>
      </c>
      <c r="E83" s="25">
        <f t="shared" si="11"/>
        <v>1500</v>
      </c>
      <c r="F83" s="25">
        <f t="shared" si="11"/>
        <v>1500</v>
      </c>
      <c r="G83" s="25">
        <f t="shared" si="11"/>
        <v>1500</v>
      </c>
      <c r="H83" s="25">
        <f t="shared" si="11"/>
        <v>1500</v>
      </c>
      <c r="I83" s="25">
        <f t="shared" si="11"/>
        <v>1500</v>
      </c>
      <c r="J83" s="25">
        <f t="shared" si="11"/>
        <v>1500</v>
      </c>
      <c r="K83" s="25">
        <f t="shared" si="11"/>
        <v>1500</v>
      </c>
      <c r="L83" s="25">
        <f t="shared" si="11"/>
        <v>1500</v>
      </c>
      <c r="M83" s="25">
        <f t="shared" si="11"/>
        <v>1500</v>
      </c>
      <c r="N83" s="25">
        <f t="shared" si="11"/>
        <v>-9500</v>
      </c>
      <c r="O83" s="25"/>
      <c r="P83" s="25"/>
      <c r="Q83" s="25"/>
      <c r="R83" s="25"/>
      <c r="S83" s="25"/>
      <c r="T83" s="25"/>
      <c r="U83" s="25"/>
      <c r="V83" s="25"/>
      <c r="W83" s="21"/>
    </row>
    <row r="84" spans="1:23" ht="21.75" hidden="1" customHeight="1" x14ac:dyDescent="0.25">
      <c r="A84" s="24" t="s">
        <v>21</v>
      </c>
      <c r="B84" s="66"/>
      <c r="C84" s="35">
        <v>5000</v>
      </c>
      <c r="D84" s="27">
        <f>C84</f>
        <v>5000</v>
      </c>
      <c r="E84" s="27">
        <f t="shared" ref="E84:N84" si="12">D84</f>
        <v>5000</v>
      </c>
      <c r="F84" s="27">
        <f t="shared" si="12"/>
        <v>5000</v>
      </c>
      <c r="G84" s="27">
        <f t="shared" si="12"/>
        <v>5000</v>
      </c>
      <c r="H84" s="27">
        <f t="shared" si="12"/>
        <v>5000</v>
      </c>
      <c r="I84" s="27">
        <f t="shared" si="12"/>
        <v>5000</v>
      </c>
      <c r="J84" s="27">
        <f t="shared" si="12"/>
        <v>5000</v>
      </c>
      <c r="K84" s="27">
        <f t="shared" si="12"/>
        <v>5000</v>
      </c>
      <c r="L84" s="27">
        <f t="shared" si="12"/>
        <v>5000</v>
      </c>
      <c r="M84" s="27">
        <f t="shared" si="12"/>
        <v>5000</v>
      </c>
      <c r="N84" s="27">
        <f t="shared" si="12"/>
        <v>5000</v>
      </c>
      <c r="O84" s="27"/>
      <c r="P84" s="27"/>
      <c r="Q84" s="27"/>
      <c r="R84" s="27"/>
      <c r="S84" s="27"/>
      <c r="T84" s="27"/>
      <c r="U84" s="27"/>
      <c r="V84" s="27"/>
      <c r="W84" s="22"/>
    </row>
    <row r="85" spans="1:23" ht="21.75" hidden="1" customHeight="1" x14ac:dyDescent="0.25">
      <c r="A85" s="30" t="s">
        <v>28</v>
      </c>
      <c r="B85" s="67"/>
      <c r="C85" s="28">
        <f>IF(C83&gt;=0,0,IF(C83&lt;-C84,C83+C84,0))</f>
        <v>0</v>
      </c>
      <c r="D85" s="28">
        <f t="shared" ref="D85:N85" si="13">IF(D83&gt;=0,0,IF(D83&lt;-D84,D83+D84,0))</f>
        <v>0</v>
      </c>
      <c r="E85" s="28">
        <f t="shared" si="13"/>
        <v>0</v>
      </c>
      <c r="F85" s="28">
        <f t="shared" si="13"/>
        <v>0</v>
      </c>
      <c r="G85" s="28">
        <f t="shared" si="13"/>
        <v>0</v>
      </c>
      <c r="H85" s="28">
        <f t="shared" si="13"/>
        <v>0</v>
      </c>
      <c r="I85" s="28">
        <f t="shared" si="13"/>
        <v>0</v>
      </c>
      <c r="J85" s="28">
        <f t="shared" si="13"/>
        <v>0</v>
      </c>
      <c r="K85" s="28">
        <f t="shared" si="13"/>
        <v>0</v>
      </c>
      <c r="L85" s="28">
        <f t="shared" si="13"/>
        <v>0</v>
      </c>
      <c r="M85" s="28">
        <f t="shared" si="13"/>
        <v>0</v>
      </c>
      <c r="N85" s="28">
        <f t="shared" si="13"/>
        <v>-4500</v>
      </c>
      <c r="O85" s="28"/>
      <c r="P85" s="28"/>
      <c r="Q85" s="28"/>
      <c r="R85" s="28"/>
      <c r="S85" s="28"/>
      <c r="T85" s="28"/>
      <c r="U85" s="28"/>
      <c r="V85" s="28"/>
      <c r="W85" s="22"/>
    </row>
    <row r="86" spans="1:23" ht="21.75" hidden="1" customHeight="1" x14ac:dyDescent="0.25">
      <c r="A86" s="20" t="s">
        <v>23</v>
      </c>
      <c r="B86" s="63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2"/>
    </row>
    <row r="87" spans="1:23" ht="21.75" hidden="1" customHeight="1" x14ac:dyDescent="0.25">
      <c r="A87" s="26" t="s">
        <v>24</v>
      </c>
      <c r="B87" s="66"/>
      <c r="C87" s="29">
        <f>IF(C83&gt;0,C83,0)</f>
        <v>1500</v>
      </c>
      <c r="D87" s="29">
        <f t="shared" ref="D87:N87" si="14">IF(D83&gt;0,D83,0)</f>
        <v>1500</v>
      </c>
      <c r="E87" s="29">
        <f t="shared" si="14"/>
        <v>1500</v>
      </c>
      <c r="F87" s="29">
        <f t="shared" si="14"/>
        <v>1500</v>
      </c>
      <c r="G87" s="29">
        <f t="shared" si="14"/>
        <v>1500</v>
      </c>
      <c r="H87" s="29">
        <f t="shared" si="14"/>
        <v>1500</v>
      </c>
      <c r="I87" s="29">
        <f t="shared" si="14"/>
        <v>1500</v>
      </c>
      <c r="J87" s="29">
        <f t="shared" si="14"/>
        <v>1500</v>
      </c>
      <c r="K87" s="29">
        <f t="shared" si="14"/>
        <v>1500</v>
      </c>
      <c r="L87" s="29">
        <f t="shared" si="14"/>
        <v>1500</v>
      </c>
      <c r="M87" s="29">
        <f t="shared" si="14"/>
        <v>1500</v>
      </c>
      <c r="N87" s="29">
        <f t="shared" si="14"/>
        <v>0</v>
      </c>
      <c r="O87" s="29"/>
      <c r="P87" s="29"/>
      <c r="Q87" s="29"/>
      <c r="R87" s="29"/>
      <c r="S87" s="29"/>
      <c r="T87" s="29"/>
      <c r="U87" s="29"/>
      <c r="V87" s="29"/>
      <c r="W87" s="21"/>
    </row>
    <row r="88" spans="1:23" ht="17.25" hidden="1" customHeight="1" x14ac:dyDescent="0.2">
      <c r="A88" s="19"/>
      <c r="B88" s="19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2"/>
    </row>
    <row r="96" spans="1:23" x14ac:dyDescent="0.2">
      <c r="A96" s="251" t="s">
        <v>138</v>
      </c>
    </row>
    <row r="97" spans="1:23" x14ac:dyDescent="0.2">
      <c r="A97" s="251"/>
    </row>
    <row r="103" spans="1:23" x14ac:dyDescent="0.2">
      <c r="B103" s="5"/>
      <c r="V103" s="1"/>
    </row>
    <row r="104" spans="1:23" x14ac:dyDescent="0.2">
      <c r="B104" s="5"/>
      <c r="V104" s="1"/>
    </row>
    <row r="105" spans="1:23" x14ac:dyDescent="0.2">
      <c r="B105" s="5"/>
      <c r="V105" s="1"/>
    </row>
    <row r="106" spans="1:23" x14ac:dyDescent="0.2">
      <c r="B106" s="5"/>
      <c r="V106" s="1"/>
    </row>
    <row r="107" spans="1:23" x14ac:dyDescent="0.2">
      <c r="B107" s="5"/>
      <c r="V107" s="1"/>
    </row>
    <row r="108" spans="1:23" ht="18" x14ac:dyDescent="0.25">
      <c r="B108" s="45"/>
      <c r="C108" s="38" t="s">
        <v>64</v>
      </c>
      <c r="F108" s="271" t="s">
        <v>0</v>
      </c>
      <c r="H108" s="272"/>
      <c r="I108" s="272"/>
      <c r="J108" s="136" t="s">
        <v>73</v>
      </c>
      <c r="K108" s="138" t="s">
        <v>97</v>
      </c>
      <c r="L108" s="273"/>
      <c r="M108" s="274"/>
      <c r="N108" s="275"/>
      <c r="O108" s="275"/>
      <c r="P108" s="275"/>
      <c r="Q108" s="4"/>
      <c r="R108" s="4"/>
      <c r="S108" s="4"/>
      <c r="T108" s="4"/>
      <c r="U108" s="4"/>
      <c r="V108" s="4"/>
      <c r="W108" s="2"/>
    </row>
    <row r="109" spans="1:23" x14ac:dyDescent="0.2">
      <c r="A109" s="34"/>
      <c r="B109" s="46"/>
      <c r="C109" s="219"/>
      <c r="D109" s="219"/>
      <c r="E109" s="219"/>
      <c r="F109" s="219"/>
      <c r="G109" s="220"/>
      <c r="H109" s="220"/>
      <c r="I109" s="220"/>
      <c r="J109" s="136" t="s">
        <v>65</v>
      </c>
      <c r="K109" s="141">
        <v>15000</v>
      </c>
      <c r="L109" s="275"/>
      <c r="M109" s="275"/>
      <c r="N109" s="275"/>
      <c r="O109" s="275"/>
      <c r="P109" s="276">
        <v>2</v>
      </c>
      <c r="Q109" s="220"/>
      <c r="R109" s="220"/>
      <c r="S109" s="220"/>
      <c r="T109" s="220"/>
      <c r="U109" s="220"/>
      <c r="V109" s="220"/>
    </row>
    <row r="110" spans="1:23" ht="15" x14ac:dyDescent="0.25">
      <c r="A110" s="3" t="s">
        <v>45</v>
      </c>
      <c r="B110" s="47"/>
      <c r="C110" s="221">
        <v>44317</v>
      </c>
      <c r="J110" s="136" t="s">
        <v>74</v>
      </c>
      <c r="K110" s="137">
        <v>500</v>
      </c>
      <c r="L110" s="198" t="s">
        <v>90</v>
      </c>
      <c r="M110" s="198"/>
      <c r="N110" s="277">
        <v>43891</v>
      </c>
      <c r="O110" s="275" t="s">
        <v>91</v>
      </c>
      <c r="P110" s="277">
        <v>44255</v>
      </c>
    </row>
    <row r="111" spans="1:23" ht="15" x14ac:dyDescent="0.25">
      <c r="A111" s="94"/>
      <c r="B111" s="120" t="s">
        <v>59</v>
      </c>
      <c r="C111" s="121" t="s">
        <v>140</v>
      </c>
      <c r="D111" s="121">
        <v>44348</v>
      </c>
      <c r="E111" s="121">
        <v>44378</v>
      </c>
      <c r="F111" s="121">
        <v>44409</v>
      </c>
      <c r="G111" s="121">
        <v>44440</v>
      </c>
      <c r="H111" s="121">
        <v>44470</v>
      </c>
      <c r="I111" s="121">
        <v>44501</v>
      </c>
      <c r="J111" s="121">
        <v>44531</v>
      </c>
      <c r="K111" s="121">
        <v>44562</v>
      </c>
      <c r="L111" s="121">
        <v>44593</v>
      </c>
      <c r="M111" s="121">
        <v>44621</v>
      </c>
      <c r="N111" s="121">
        <v>44652</v>
      </c>
      <c r="O111" s="121">
        <v>44682</v>
      </c>
      <c r="P111" s="121">
        <v>44713</v>
      </c>
      <c r="Q111" s="121">
        <v>44743</v>
      </c>
      <c r="R111" s="121">
        <v>44774</v>
      </c>
      <c r="S111" s="121">
        <v>44805</v>
      </c>
      <c r="T111" s="121">
        <v>44835</v>
      </c>
      <c r="U111" s="121">
        <v>44866</v>
      </c>
      <c r="V111" s="121">
        <v>44896</v>
      </c>
      <c r="W111" s="122" t="s">
        <v>12</v>
      </c>
    </row>
    <row r="112" spans="1:23" ht="16.5" x14ac:dyDescent="0.25">
      <c r="A112" s="158" t="s">
        <v>13</v>
      </c>
      <c r="B112" s="49"/>
      <c r="C112" s="222">
        <v>500</v>
      </c>
      <c r="D112" s="223">
        <v>-1487.5</v>
      </c>
      <c r="E112" s="223">
        <v>1404.5</v>
      </c>
      <c r="F112" s="223">
        <v>-61273</v>
      </c>
      <c r="G112" s="223">
        <v>-105533</v>
      </c>
      <c r="H112" s="223">
        <v>-105310.5</v>
      </c>
      <c r="I112" s="223">
        <v>-118470.5</v>
      </c>
      <c r="J112" s="223">
        <v>-121758</v>
      </c>
      <c r="K112" s="223">
        <v>-79818</v>
      </c>
      <c r="L112" s="223">
        <v>-58945.5</v>
      </c>
      <c r="M112" s="223">
        <v>-65305.5</v>
      </c>
      <c r="N112" s="223">
        <v>-71533</v>
      </c>
      <c r="O112" s="223">
        <v>-75993</v>
      </c>
      <c r="P112" s="223">
        <v>-69593</v>
      </c>
      <c r="Q112" s="223">
        <v>-63193</v>
      </c>
      <c r="R112" s="223">
        <v>-56793</v>
      </c>
      <c r="S112" s="223">
        <v>-50393</v>
      </c>
      <c r="T112" s="223">
        <v>-43993</v>
      </c>
      <c r="U112" s="223">
        <v>-37593</v>
      </c>
      <c r="V112" s="223">
        <v>-36193</v>
      </c>
      <c r="W112" s="169"/>
    </row>
    <row r="113" spans="1:23" ht="16.5" x14ac:dyDescent="0.25">
      <c r="A113" s="142" t="s">
        <v>14</v>
      </c>
      <c r="B113" s="50"/>
      <c r="C113" s="180"/>
      <c r="D113" s="224"/>
      <c r="E113" s="224"/>
      <c r="F113" s="224"/>
      <c r="G113" s="224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169"/>
    </row>
    <row r="114" spans="1:23" ht="16.5" customHeight="1" x14ac:dyDescent="0.25">
      <c r="A114" s="143" t="s">
        <v>100</v>
      </c>
      <c r="B114" s="51">
        <v>1.1000000000000001</v>
      </c>
      <c r="C114" s="21" t="s">
        <v>141</v>
      </c>
      <c r="D114" s="21" t="s">
        <v>141</v>
      </c>
      <c r="E114" s="21">
        <v>6050.0000000000009</v>
      </c>
      <c r="F114" s="21">
        <v>14300.000000000002</v>
      </c>
      <c r="G114" s="21">
        <v>8250</v>
      </c>
      <c r="H114" s="21" t="s">
        <v>141</v>
      </c>
      <c r="I114" s="21" t="s">
        <v>141</v>
      </c>
      <c r="J114" s="21" t="s">
        <v>141</v>
      </c>
      <c r="K114" s="21" t="s">
        <v>141</v>
      </c>
      <c r="L114" s="21" t="s">
        <v>141</v>
      </c>
      <c r="M114" s="21" t="s">
        <v>141</v>
      </c>
      <c r="N114" s="21" t="s">
        <v>141</v>
      </c>
      <c r="O114" s="21" t="s">
        <v>141</v>
      </c>
      <c r="P114" s="21" t="s">
        <v>141</v>
      </c>
      <c r="Q114" s="21" t="s">
        <v>141</v>
      </c>
      <c r="R114" s="21" t="s">
        <v>141</v>
      </c>
      <c r="S114" s="21" t="s">
        <v>141</v>
      </c>
      <c r="T114" s="21" t="s">
        <v>141</v>
      </c>
      <c r="U114" s="21" t="s">
        <v>141</v>
      </c>
      <c r="V114" s="21" t="s">
        <v>141</v>
      </c>
      <c r="W114" s="21">
        <v>28600.000000000004</v>
      </c>
    </row>
    <row r="115" spans="1:23" ht="16.5" x14ac:dyDescent="0.25">
      <c r="A115" s="143" t="s">
        <v>101</v>
      </c>
      <c r="B115" s="51">
        <v>1.2</v>
      </c>
      <c r="C115" s="21" t="s">
        <v>141</v>
      </c>
      <c r="D115" s="21" t="s">
        <v>141</v>
      </c>
      <c r="E115" s="21" t="s">
        <v>141</v>
      </c>
      <c r="F115" s="21" t="s">
        <v>141</v>
      </c>
      <c r="G115" s="21" t="s">
        <v>141</v>
      </c>
      <c r="H115" s="21" t="s">
        <v>141</v>
      </c>
      <c r="I115" s="21" t="s">
        <v>141</v>
      </c>
      <c r="J115" s="21" t="s">
        <v>141</v>
      </c>
      <c r="K115" s="21" t="s">
        <v>141</v>
      </c>
      <c r="L115" s="21" t="s">
        <v>141</v>
      </c>
      <c r="M115" s="21" t="s">
        <v>141</v>
      </c>
      <c r="N115" s="21" t="s">
        <v>141</v>
      </c>
      <c r="O115" s="21" t="s">
        <v>141</v>
      </c>
      <c r="P115" s="21" t="s">
        <v>141</v>
      </c>
      <c r="Q115" s="21" t="s">
        <v>141</v>
      </c>
      <c r="R115" s="21" t="s">
        <v>141</v>
      </c>
      <c r="S115" s="21" t="s">
        <v>141</v>
      </c>
      <c r="T115" s="21" t="s">
        <v>141</v>
      </c>
      <c r="U115" s="21" t="s">
        <v>141</v>
      </c>
      <c r="V115" s="21" t="s">
        <v>141</v>
      </c>
      <c r="W115" s="21">
        <v>0</v>
      </c>
    </row>
    <row r="116" spans="1:23" ht="16.5" x14ac:dyDescent="0.25">
      <c r="A116" s="143" t="s">
        <v>102</v>
      </c>
      <c r="B116" s="51">
        <v>1.2</v>
      </c>
      <c r="C116" s="21" t="s">
        <v>141</v>
      </c>
      <c r="D116" s="21" t="s">
        <v>141</v>
      </c>
      <c r="E116" s="21" t="s">
        <v>141</v>
      </c>
      <c r="F116" s="21" t="s">
        <v>141</v>
      </c>
      <c r="G116" s="21" t="s">
        <v>141</v>
      </c>
      <c r="H116" s="21" t="s">
        <v>141</v>
      </c>
      <c r="I116" s="21">
        <v>12000</v>
      </c>
      <c r="J116" s="21">
        <v>57600</v>
      </c>
      <c r="K116" s="21">
        <v>24000</v>
      </c>
      <c r="L116" s="21" t="s">
        <v>141</v>
      </c>
      <c r="M116" s="21" t="s">
        <v>141</v>
      </c>
      <c r="N116" s="21" t="s">
        <v>141</v>
      </c>
      <c r="O116" s="21" t="s">
        <v>141</v>
      </c>
      <c r="P116" s="21" t="s">
        <v>141</v>
      </c>
      <c r="Q116" s="21" t="s">
        <v>141</v>
      </c>
      <c r="R116" s="21" t="s">
        <v>141</v>
      </c>
      <c r="S116" s="21" t="s">
        <v>141</v>
      </c>
      <c r="T116" s="21" t="s">
        <v>141</v>
      </c>
      <c r="U116" s="21" t="s">
        <v>141</v>
      </c>
      <c r="V116" s="21" t="s">
        <v>141</v>
      </c>
      <c r="W116" s="21">
        <v>93600</v>
      </c>
    </row>
    <row r="117" spans="1:23" ht="16.5" x14ac:dyDescent="0.25">
      <c r="A117" s="143" t="s">
        <v>145</v>
      </c>
      <c r="B117" s="51">
        <v>1</v>
      </c>
      <c r="C117" s="21" t="s">
        <v>141</v>
      </c>
      <c r="D117" s="21" t="s">
        <v>141</v>
      </c>
      <c r="E117" s="21" t="s">
        <v>141</v>
      </c>
      <c r="F117" s="21" t="s">
        <v>141</v>
      </c>
      <c r="G117" s="21" t="s">
        <v>141</v>
      </c>
      <c r="H117" s="21" t="s">
        <v>141</v>
      </c>
      <c r="I117" s="21" t="s">
        <v>141</v>
      </c>
      <c r="J117" s="21" t="s">
        <v>141</v>
      </c>
      <c r="K117" s="21" t="s">
        <v>141</v>
      </c>
      <c r="L117" s="21" t="s">
        <v>141</v>
      </c>
      <c r="M117" s="21" t="s">
        <v>141</v>
      </c>
      <c r="N117" s="21" t="s">
        <v>141</v>
      </c>
      <c r="O117" s="21" t="s">
        <v>141</v>
      </c>
      <c r="P117" s="21" t="s">
        <v>141</v>
      </c>
      <c r="Q117" s="21" t="s">
        <v>141</v>
      </c>
      <c r="R117" s="21" t="s">
        <v>141</v>
      </c>
      <c r="S117" s="21" t="s">
        <v>141</v>
      </c>
      <c r="T117" s="21" t="s">
        <v>141</v>
      </c>
      <c r="U117" s="21" t="s">
        <v>141</v>
      </c>
      <c r="V117" s="21" t="s">
        <v>141</v>
      </c>
      <c r="W117" s="21"/>
    </row>
    <row r="118" spans="1:23" ht="16.5" x14ac:dyDescent="0.25">
      <c r="A118" s="143" t="s">
        <v>142</v>
      </c>
      <c r="B118" s="51">
        <v>1</v>
      </c>
      <c r="C118" s="21" t="s">
        <v>141</v>
      </c>
      <c r="D118" s="21" t="s">
        <v>141</v>
      </c>
      <c r="E118" s="21" t="s">
        <v>141</v>
      </c>
      <c r="F118" s="21" t="s">
        <v>141</v>
      </c>
      <c r="G118" s="21" t="s">
        <v>141</v>
      </c>
      <c r="H118" s="21" t="s">
        <v>141</v>
      </c>
      <c r="I118" s="21" t="s">
        <v>141</v>
      </c>
      <c r="J118" s="21" t="s">
        <v>141</v>
      </c>
      <c r="K118" s="21" t="s">
        <v>141</v>
      </c>
      <c r="L118" s="21" t="s">
        <v>141</v>
      </c>
      <c r="M118" s="21" t="s">
        <v>141</v>
      </c>
      <c r="N118" s="21" t="s">
        <v>141</v>
      </c>
      <c r="O118" s="21" t="s">
        <v>141</v>
      </c>
      <c r="P118" s="21" t="s">
        <v>141</v>
      </c>
      <c r="Q118" s="21" t="s">
        <v>141</v>
      </c>
      <c r="R118" s="21" t="s">
        <v>141</v>
      </c>
      <c r="S118" s="21" t="s">
        <v>141</v>
      </c>
      <c r="T118" s="21" t="s">
        <v>141</v>
      </c>
      <c r="U118" s="21" t="s">
        <v>141</v>
      </c>
      <c r="V118" s="21" t="s">
        <v>141</v>
      </c>
      <c r="W118" s="21">
        <v>0</v>
      </c>
    </row>
    <row r="119" spans="1:23" ht="17.25" thickBot="1" x14ac:dyDescent="0.3">
      <c r="A119" s="143" t="s">
        <v>124</v>
      </c>
      <c r="B119" s="51"/>
      <c r="C119" s="21" t="s">
        <v>141</v>
      </c>
      <c r="D119" s="21" t="s">
        <v>141</v>
      </c>
      <c r="E119" s="21" t="s">
        <v>141</v>
      </c>
      <c r="F119" s="21" t="s">
        <v>141</v>
      </c>
      <c r="G119" s="21" t="s">
        <v>141</v>
      </c>
      <c r="H119" s="21" t="s">
        <v>141</v>
      </c>
      <c r="I119" s="21" t="s">
        <v>141</v>
      </c>
      <c r="J119" s="21" t="s">
        <v>141</v>
      </c>
      <c r="K119" s="21" t="s">
        <v>141</v>
      </c>
      <c r="L119" s="21" t="s">
        <v>141</v>
      </c>
      <c r="M119" s="21" t="s">
        <v>141</v>
      </c>
      <c r="N119" s="21" t="s">
        <v>141</v>
      </c>
      <c r="O119" s="21" t="s">
        <v>141</v>
      </c>
      <c r="P119" s="21" t="s">
        <v>141</v>
      </c>
      <c r="Q119" s="21" t="s">
        <v>141</v>
      </c>
      <c r="R119" s="21" t="s">
        <v>141</v>
      </c>
      <c r="S119" s="21" t="s">
        <v>141</v>
      </c>
      <c r="T119" s="21" t="s">
        <v>141</v>
      </c>
      <c r="U119" s="21" t="s">
        <v>141</v>
      </c>
      <c r="V119" s="21" t="s">
        <v>141</v>
      </c>
      <c r="W119" s="21">
        <v>0</v>
      </c>
    </row>
    <row r="120" spans="1:23" ht="17.25" thickBot="1" x14ac:dyDescent="0.3">
      <c r="A120" s="146" t="s">
        <v>79</v>
      </c>
      <c r="B120" s="181">
        <v>1</v>
      </c>
      <c r="C120" s="186">
        <v>9600</v>
      </c>
      <c r="D120" s="186">
        <v>16152</v>
      </c>
      <c r="E120" s="186">
        <v>18050</v>
      </c>
      <c r="F120" s="186">
        <v>31300</v>
      </c>
      <c r="G120" s="186">
        <v>21450</v>
      </c>
      <c r="H120" s="186">
        <v>9600</v>
      </c>
      <c r="I120" s="186">
        <v>21600</v>
      </c>
      <c r="J120" s="186">
        <v>69600</v>
      </c>
      <c r="K120" s="186">
        <v>40800</v>
      </c>
      <c r="L120" s="186">
        <v>16800</v>
      </c>
      <c r="M120" s="186">
        <v>14400</v>
      </c>
      <c r="N120" s="186">
        <v>12000</v>
      </c>
      <c r="O120" s="186">
        <v>12000</v>
      </c>
      <c r="P120" s="186">
        <v>12000</v>
      </c>
      <c r="Q120" s="186">
        <v>12000</v>
      </c>
      <c r="R120" s="186">
        <v>12000</v>
      </c>
      <c r="S120" s="186">
        <v>12000</v>
      </c>
      <c r="T120" s="186">
        <v>12000</v>
      </c>
      <c r="U120" s="186">
        <v>12000</v>
      </c>
      <c r="V120" s="186">
        <v>12000</v>
      </c>
      <c r="W120" s="187">
        <v>377352</v>
      </c>
    </row>
    <row r="121" spans="1:23" ht="16.5" x14ac:dyDescent="0.25">
      <c r="A121" s="142" t="s">
        <v>18</v>
      </c>
      <c r="B121" s="182">
        <v>1</v>
      </c>
      <c r="C121" s="180"/>
      <c r="D121" s="224"/>
      <c r="E121" s="224"/>
      <c r="F121" s="224"/>
      <c r="G121" s="224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169"/>
    </row>
    <row r="122" spans="1:23" ht="16.5" customHeight="1" x14ac:dyDescent="0.25">
      <c r="A122" s="143" t="s">
        <v>106</v>
      </c>
      <c r="B122" s="51">
        <v>1.2</v>
      </c>
      <c r="C122" s="21" t="s">
        <v>141</v>
      </c>
      <c r="D122" s="21" t="s">
        <v>141</v>
      </c>
      <c r="E122" s="21" t="s">
        <v>141</v>
      </c>
      <c r="F122" s="21" t="s">
        <v>141</v>
      </c>
      <c r="G122" s="21" t="s">
        <v>141</v>
      </c>
      <c r="H122" s="21" t="s">
        <v>141</v>
      </c>
      <c r="I122" s="21">
        <v>2400</v>
      </c>
      <c r="J122" s="21">
        <v>2400</v>
      </c>
      <c r="K122" s="21" t="s">
        <v>141</v>
      </c>
      <c r="L122" s="21">
        <v>4800</v>
      </c>
      <c r="M122" s="21">
        <v>5400</v>
      </c>
      <c r="N122" s="21">
        <v>5400</v>
      </c>
      <c r="O122" s="21" t="s">
        <v>141</v>
      </c>
      <c r="P122" s="21" t="s">
        <v>141</v>
      </c>
      <c r="Q122" s="21" t="s">
        <v>141</v>
      </c>
      <c r="R122" s="21" t="s">
        <v>141</v>
      </c>
      <c r="S122" s="21" t="s">
        <v>141</v>
      </c>
      <c r="T122" s="21" t="s">
        <v>141</v>
      </c>
      <c r="U122" s="21" t="s">
        <v>141</v>
      </c>
      <c r="V122" s="21" t="s">
        <v>141</v>
      </c>
      <c r="W122" s="21">
        <v>20400</v>
      </c>
    </row>
    <row r="123" spans="1:23" ht="16.5" x14ac:dyDescent="0.25">
      <c r="A123" s="143" t="s">
        <v>85</v>
      </c>
      <c r="B123" s="51">
        <v>1.1000000000000001</v>
      </c>
      <c r="C123" s="21" t="s">
        <v>141</v>
      </c>
      <c r="D123" s="21" t="s">
        <v>141</v>
      </c>
      <c r="E123" s="21" t="s">
        <v>141</v>
      </c>
      <c r="F123" s="21" t="s">
        <v>141</v>
      </c>
      <c r="G123" s="21" t="s">
        <v>141</v>
      </c>
      <c r="H123" s="21" t="s">
        <v>141</v>
      </c>
      <c r="I123" s="21" t="s">
        <v>141</v>
      </c>
      <c r="J123" s="21" t="s">
        <v>141</v>
      </c>
      <c r="K123" s="21" t="s">
        <v>141</v>
      </c>
      <c r="L123" s="21" t="s">
        <v>141</v>
      </c>
      <c r="M123" s="21" t="s">
        <v>141</v>
      </c>
      <c r="N123" s="21" t="s">
        <v>141</v>
      </c>
      <c r="O123" s="21" t="s">
        <v>141</v>
      </c>
      <c r="P123" s="21" t="s">
        <v>141</v>
      </c>
      <c r="Q123" s="21" t="s">
        <v>141</v>
      </c>
      <c r="R123" s="21" t="s">
        <v>141</v>
      </c>
      <c r="S123" s="21" t="s">
        <v>141</v>
      </c>
      <c r="T123" s="21" t="s">
        <v>141</v>
      </c>
      <c r="U123" s="21" t="s">
        <v>141</v>
      </c>
      <c r="V123" s="21" t="s">
        <v>141</v>
      </c>
      <c r="W123" s="21"/>
    </row>
    <row r="124" spans="1:23" ht="16.5" x14ac:dyDescent="0.25">
      <c r="A124" s="143" t="s">
        <v>145</v>
      </c>
      <c r="B124" s="51">
        <v>1.2</v>
      </c>
      <c r="C124" s="21">
        <v>1560</v>
      </c>
      <c r="D124" s="21">
        <v>1560</v>
      </c>
      <c r="E124" s="21">
        <v>1560</v>
      </c>
      <c r="F124" s="21">
        <v>1560</v>
      </c>
      <c r="G124" s="21">
        <v>1560</v>
      </c>
      <c r="H124" s="21">
        <v>1560</v>
      </c>
      <c r="I124" s="21">
        <v>1560</v>
      </c>
      <c r="J124" s="21">
        <v>1560</v>
      </c>
      <c r="K124" s="21">
        <v>1560</v>
      </c>
      <c r="L124" s="21">
        <v>1560</v>
      </c>
      <c r="M124" s="21">
        <v>1560</v>
      </c>
      <c r="N124" s="21">
        <v>1560</v>
      </c>
      <c r="O124" s="21" t="s">
        <v>141</v>
      </c>
      <c r="P124" s="21" t="s">
        <v>141</v>
      </c>
      <c r="Q124" s="21" t="s">
        <v>141</v>
      </c>
      <c r="R124" s="21" t="s">
        <v>141</v>
      </c>
      <c r="S124" s="21" t="s">
        <v>141</v>
      </c>
      <c r="T124" s="21" t="s">
        <v>141</v>
      </c>
      <c r="U124" s="21" t="s">
        <v>141</v>
      </c>
      <c r="V124" s="21" t="s">
        <v>141</v>
      </c>
      <c r="W124" s="21">
        <v>18720</v>
      </c>
    </row>
    <row r="125" spans="1:23" ht="16.5" x14ac:dyDescent="0.25">
      <c r="A125" s="143" t="s">
        <v>38</v>
      </c>
      <c r="B125" s="51">
        <v>1.2</v>
      </c>
      <c r="C125" s="21" t="s">
        <v>141</v>
      </c>
      <c r="D125" s="21" t="s">
        <v>141</v>
      </c>
      <c r="E125" s="21">
        <v>60000</v>
      </c>
      <c r="F125" s="21">
        <v>60000</v>
      </c>
      <c r="G125" s="21" t="s">
        <v>141</v>
      </c>
      <c r="H125" s="21" t="s">
        <v>141</v>
      </c>
      <c r="I125" s="21" t="s">
        <v>141</v>
      </c>
      <c r="J125" s="21" t="s">
        <v>141</v>
      </c>
      <c r="K125" s="21" t="s">
        <v>141</v>
      </c>
      <c r="L125" s="21" t="s">
        <v>141</v>
      </c>
      <c r="M125" s="21" t="s">
        <v>141</v>
      </c>
      <c r="N125" s="21" t="s">
        <v>141</v>
      </c>
      <c r="O125" s="21" t="s">
        <v>141</v>
      </c>
      <c r="P125" s="21" t="s">
        <v>141</v>
      </c>
      <c r="Q125" s="21" t="s">
        <v>141</v>
      </c>
      <c r="R125" s="21" t="s">
        <v>141</v>
      </c>
      <c r="S125" s="21" t="s">
        <v>141</v>
      </c>
      <c r="T125" s="21" t="s">
        <v>141</v>
      </c>
      <c r="U125" s="21" t="s">
        <v>141</v>
      </c>
      <c r="V125" s="21" t="s">
        <v>141</v>
      </c>
      <c r="W125" s="21">
        <v>120000</v>
      </c>
    </row>
    <row r="126" spans="1:23" ht="16.5" x14ac:dyDescent="0.25">
      <c r="A126" s="143" t="s">
        <v>143</v>
      </c>
      <c r="B126" s="51">
        <v>1</v>
      </c>
      <c r="C126" s="21"/>
      <c r="D126" s="21" t="s">
        <v>141</v>
      </c>
      <c r="E126" s="21" t="s">
        <v>141</v>
      </c>
      <c r="F126" s="21" t="s">
        <v>141</v>
      </c>
      <c r="G126" s="21" t="s">
        <v>141</v>
      </c>
      <c r="H126" s="21" t="s">
        <v>141</v>
      </c>
      <c r="I126" s="21" t="s">
        <v>141</v>
      </c>
      <c r="J126" s="21" t="s">
        <v>141</v>
      </c>
      <c r="K126" s="21" t="s">
        <v>141</v>
      </c>
      <c r="L126" s="21" t="s">
        <v>141</v>
      </c>
      <c r="M126" s="21" t="s">
        <v>141</v>
      </c>
      <c r="N126" s="21" t="s">
        <v>141</v>
      </c>
      <c r="O126" s="21" t="s">
        <v>141</v>
      </c>
      <c r="P126" s="21" t="s">
        <v>141</v>
      </c>
      <c r="Q126" s="21" t="s">
        <v>141</v>
      </c>
      <c r="R126" s="21" t="s">
        <v>141</v>
      </c>
      <c r="S126" s="21" t="s">
        <v>141</v>
      </c>
      <c r="T126" s="21" t="s">
        <v>141</v>
      </c>
      <c r="U126" s="21" t="s">
        <v>141</v>
      </c>
      <c r="V126" s="21" t="s">
        <v>141</v>
      </c>
      <c r="W126" s="166">
        <v>0</v>
      </c>
    </row>
    <row r="127" spans="1:23" ht="17.25" thickBot="1" x14ac:dyDescent="0.3">
      <c r="A127" s="143" t="s">
        <v>125</v>
      </c>
      <c r="B127" s="51"/>
      <c r="C127" s="21" t="s">
        <v>141</v>
      </c>
      <c r="D127" s="21" t="s">
        <v>141</v>
      </c>
      <c r="E127" s="21" t="s">
        <v>141</v>
      </c>
      <c r="F127" s="21" t="s">
        <v>141</v>
      </c>
      <c r="G127" s="21" t="s">
        <v>141</v>
      </c>
      <c r="H127" s="21" t="s">
        <v>141</v>
      </c>
      <c r="I127" s="21" t="s">
        <v>141</v>
      </c>
      <c r="J127" s="21" t="s">
        <v>141</v>
      </c>
      <c r="K127" s="21" t="s">
        <v>141</v>
      </c>
      <c r="L127" s="21" t="s">
        <v>141</v>
      </c>
      <c r="M127" s="21" t="s">
        <v>141</v>
      </c>
      <c r="N127" s="21" t="s">
        <v>141</v>
      </c>
      <c r="O127" s="21" t="s">
        <v>141</v>
      </c>
      <c r="P127" s="21" t="s">
        <v>141</v>
      </c>
      <c r="Q127" s="21" t="s">
        <v>141</v>
      </c>
      <c r="R127" s="21" t="s">
        <v>141</v>
      </c>
      <c r="S127" s="21" t="s">
        <v>141</v>
      </c>
      <c r="T127" s="21" t="s">
        <v>141</v>
      </c>
      <c r="U127" s="21" t="s">
        <v>141</v>
      </c>
      <c r="V127" s="21" t="s">
        <v>141</v>
      </c>
      <c r="W127" s="166">
        <v>0</v>
      </c>
    </row>
    <row r="128" spans="1:23" ht="17.25" thickBot="1" x14ac:dyDescent="0.3">
      <c r="A128" s="152" t="s">
        <v>96</v>
      </c>
      <c r="B128" s="123"/>
      <c r="C128" s="186">
        <v>11587.5</v>
      </c>
      <c r="D128" s="186">
        <v>18260</v>
      </c>
      <c r="E128" s="186">
        <v>80727.5</v>
      </c>
      <c r="F128" s="186">
        <v>75560</v>
      </c>
      <c r="G128" s="186">
        <v>21227.5</v>
      </c>
      <c r="H128" s="186">
        <v>22760</v>
      </c>
      <c r="I128" s="186">
        <v>24887.5</v>
      </c>
      <c r="J128" s="186">
        <v>27660</v>
      </c>
      <c r="K128" s="186">
        <v>19927.5</v>
      </c>
      <c r="L128" s="186">
        <v>23160</v>
      </c>
      <c r="M128" s="186">
        <v>20627.5</v>
      </c>
      <c r="N128" s="186">
        <v>16460</v>
      </c>
      <c r="O128" s="186">
        <v>5600</v>
      </c>
      <c r="P128" s="186">
        <v>5600</v>
      </c>
      <c r="Q128" s="186">
        <v>5600</v>
      </c>
      <c r="R128" s="186">
        <v>5600</v>
      </c>
      <c r="S128" s="186">
        <v>5600</v>
      </c>
      <c r="T128" s="186">
        <v>5600</v>
      </c>
      <c r="U128" s="186">
        <v>10600</v>
      </c>
      <c r="V128" s="186">
        <v>5600</v>
      </c>
      <c r="W128" s="187">
        <v>412645</v>
      </c>
    </row>
    <row r="129" spans="1:23" ht="16.5" x14ac:dyDescent="0.25">
      <c r="A129" s="154" t="s">
        <v>20</v>
      </c>
      <c r="B129" s="124"/>
      <c r="C129" s="188">
        <v>-1987.5</v>
      </c>
      <c r="D129" s="188">
        <v>-2108</v>
      </c>
      <c r="E129" s="188">
        <v>-62677.5</v>
      </c>
      <c r="F129" s="188">
        <v>-44260</v>
      </c>
      <c r="G129" s="188">
        <v>222.5</v>
      </c>
      <c r="H129" s="188">
        <v>-13160</v>
      </c>
      <c r="I129" s="188">
        <v>-3287.5</v>
      </c>
      <c r="J129" s="188">
        <v>41940</v>
      </c>
      <c r="K129" s="188">
        <v>20872.5</v>
      </c>
      <c r="L129" s="188">
        <v>-6360</v>
      </c>
      <c r="M129" s="188">
        <v>-6227.5</v>
      </c>
      <c r="N129" s="188">
        <v>-4460</v>
      </c>
      <c r="O129" s="188">
        <v>6400</v>
      </c>
      <c r="P129" s="188">
        <v>6400</v>
      </c>
      <c r="Q129" s="188">
        <v>6400</v>
      </c>
      <c r="R129" s="188">
        <v>6400</v>
      </c>
      <c r="S129" s="188">
        <v>6400</v>
      </c>
      <c r="T129" s="188">
        <v>6400</v>
      </c>
      <c r="U129" s="188">
        <v>1400</v>
      </c>
      <c r="V129" s="188">
        <v>6400</v>
      </c>
      <c r="W129" s="189"/>
    </row>
    <row r="130" spans="1:23" ht="16.5" x14ac:dyDescent="0.25">
      <c r="A130" s="155"/>
      <c r="B130" s="125"/>
      <c r="C130" s="190"/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/>
      <c r="O130" s="192"/>
      <c r="P130" s="192"/>
      <c r="Q130" s="192"/>
      <c r="R130" s="192"/>
      <c r="S130" s="192"/>
      <c r="T130" s="192"/>
      <c r="U130" s="192"/>
      <c r="V130" s="192"/>
      <c r="W130" s="189"/>
    </row>
    <row r="131" spans="1:23" ht="16.5" x14ac:dyDescent="0.25">
      <c r="A131" s="154" t="s">
        <v>58</v>
      </c>
      <c r="B131" s="124"/>
      <c r="C131" s="193">
        <v>-1487.5</v>
      </c>
      <c r="D131" s="194">
        <v>-3595.5</v>
      </c>
      <c r="E131" s="194">
        <v>-66273</v>
      </c>
      <c r="F131" s="194">
        <v>-110533</v>
      </c>
      <c r="G131" s="194">
        <v>-110310.5</v>
      </c>
      <c r="H131" s="194">
        <v>-123470.5</v>
      </c>
      <c r="I131" s="194">
        <v>-126758</v>
      </c>
      <c r="J131" s="194">
        <v>-84818</v>
      </c>
      <c r="K131" s="194">
        <v>-63945.5</v>
      </c>
      <c r="L131" s="194">
        <v>-70305.5</v>
      </c>
      <c r="M131" s="194">
        <v>-76533</v>
      </c>
      <c r="N131" s="194">
        <v>-80993</v>
      </c>
      <c r="O131" s="194">
        <v>-74593</v>
      </c>
      <c r="P131" s="194">
        <v>-68193</v>
      </c>
      <c r="Q131" s="194">
        <v>-61793</v>
      </c>
      <c r="R131" s="194">
        <v>-55393</v>
      </c>
      <c r="S131" s="194">
        <v>-48993</v>
      </c>
      <c r="T131" s="194">
        <v>-42593</v>
      </c>
      <c r="U131" s="194">
        <v>-41193</v>
      </c>
      <c r="V131" s="194">
        <v>-34793</v>
      </c>
      <c r="W131" s="195"/>
    </row>
    <row r="132" spans="1:23" x14ac:dyDescent="0.2">
      <c r="B132" s="45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</row>
    <row r="133" spans="1:23" ht="18" x14ac:dyDescent="0.25">
      <c r="A133" s="171" t="s">
        <v>22</v>
      </c>
      <c r="B133" s="177"/>
      <c r="C133" s="176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  <c r="R133" s="176"/>
      <c r="S133" s="176"/>
      <c r="T133" s="176"/>
      <c r="U133" s="176"/>
      <c r="V133" s="176"/>
      <c r="W133" s="179"/>
    </row>
    <row r="134" spans="1:23" ht="16.5" x14ac:dyDescent="0.25">
      <c r="A134" s="173" t="s">
        <v>25</v>
      </c>
      <c r="B134" s="174"/>
      <c r="C134" s="175"/>
      <c r="D134" s="175">
        <v>5000</v>
      </c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21">
        <v>5000</v>
      </c>
    </row>
    <row r="135" spans="1:23" ht="16.5" x14ac:dyDescent="0.25">
      <c r="A135" s="173" t="s">
        <v>26</v>
      </c>
      <c r="B135" s="5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>
        <v>10000</v>
      </c>
      <c r="W135" s="21">
        <v>10000</v>
      </c>
    </row>
    <row r="136" spans="1:23" ht="16.5" x14ac:dyDescent="0.25">
      <c r="A136" s="172"/>
      <c r="B136" s="49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170" t="s">
        <v>144</v>
      </c>
    </row>
    <row r="137" spans="1:23" ht="18.75" thickBot="1" x14ac:dyDescent="0.3">
      <c r="A137" s="126" t="s">
        <v>27</v>
      </c>
      <c r="B137" s="126"/>
      <c r="C137" s="167">
        <v>-1487.5</v>
      </c>
      <c r="D137" s="127">
        <v>1404.5</v>
      </c>
      <c r="E137" s="127">
        <v>-61273</v>
      </c>
      <c r="F137" s="127">
        <v>-105533</v>
      </c>
      <c r="G137" s="127">
        <v>-105310.5</v>
      </c>
      <c r="H137" s="127">
        <v>-118470.5</v>
      </c>
      <c r="I137" s="127">
        <v>-121758</v>
      </c>
      <c r="J137" s="127">
        <v>-79818</v>
      </c>
      <c r="K137" s="127">
        <v>-58945.5</v>
      </c>
      <c r="L137" s="127">
        <v>-65305.5</v>
      </c>
      <c r="M137" s="127">
        <v>-71533</v>
      </c>
      <c r="N137" s="127">
        <v>-75993</v>
      </c>
      <c r="O137" s="127">
        <v>-69593</v>
      </c>
      <c r="P137" s="127">
        <v>-63193</v>
      </c>
      <c r="Q137" s="127">
        <v>-56793</v>
      </c>
      <c r="R137" s="127">
        <v>-50393</v>
      </c>
      <c r="S137" s="127">
        <v>-43993</v>
      </c>
      <c r="T137" s="127">
        <v>-37593</v>
      </c>
      <c r="U137" s="127">
        <v>-36193</v>
      </c>
      <c r="V137" s="127">
        <v>-39793</v>
      </c>
      <c r="W137" s="180"/>
    </row>
    <row r="138" spans="1:23" ht="17.25" thickBot="1" x14ac:dyDescent="0.3">
      <c r="A138" s="14" t="s">
        <v>68</v>
      </c>
      <c r="B138" s="165"/>
      <c r="C138" s="226">
        <v>-15000</v>
      </c>
      <c r="D138" s="166">
        <v>-15000</v>
      </c>
      <c r="E138" s="21">
        <v>-15000</v>
      </c>
      <c r="F138" s="21">
        <v>-15000</v>
      </c>
      <c r="G138" s="21">
        <v>-15000</v>
      </c>
      <c r="H138" s="21">
        <v>-15000</v>
      </c>
      <c r="I138" s="21">
        <v>-15000</v>
      </c>
      <c r="J138" s="21">
        <v>-15000</v>
      </c>
      <c r="K138" s="21">
        <v>-15000</v>
      </c>
      <c r="L138" s="21">
        <v>-15000</v>
      </c>
      <c r="M138" s="21">
        <v>-15000</v>
      </c>
      <c r="N138" s="21">
        <v>-15000</v>
      </c>
      <c r="O138" s="21">
        <v>-15000</v>
      </c>
      <c r="P138" s="21">
        <v>-15000</v>
      </c>
      <c r="Q138" s="21">
        <v>-15000</v>
      </c>
      <c r="R138" s="21">
        <v>-15000</v>
      </c>
      <c r="S138" s="21">
        <v>-15000</v>
      </c>
      <c r="T138" s="21">
        <v>-15000</v>
      </c>
      <c r="U138" s="21">
        <v>-15000</v>
      </c>
      <c r="V138" s="21">
        <v>-15000</v>
      </c>
      <c r="W138" s="169"/>
    </row>
    <row r="139" spans="1:23" ht="18" x14ac:dyDescent="0.25">
      <c r="A139" s="213" t="s">
        <v>28</v>
      </c>
      <c r="B139" s="214"/>
      <c r="C139" s="215">
        <v>0</v>
      </c>
      <c r="D139" s="216">
        <v>0</v>
      </c>
      <c r="E139" s="216">
        <v>-46273</v>
      </c>
      <c r="F139" s="216">
        <v>-90533</v>
      </c>
      <c r="G139" s="216">
        <v>-90310.5</v>
      </c>
      <c r="H139" s="216">
        <v>-103470.5</v>
      </c>
      <c r="I139" s="216">
        <v>-106758</v>
      </c>
      <c r="J139" s="216">
        <v>-64818</v>
      </c>
      <c r="K139" s="216">
        <v>-43945.5</v>
      </c>
      <c r="L139" s="216">
        <v>-50305.5</v>
      </c>
      <c r="M139" s="216">
        <v>-56533</v>
      </c>
      <c r="N139" s="216">
        <v>-60993</v>
      </c>
      <c r="O139" s="216">
        <v>-54593</v>
      </c>
      <c r="P139" s="216">
        <v>-48193</v>
      </c>
      <c r="Q139" s="216">
        <v>-41793</v>
      </c>
      <c r="R139" s="216">
        <v>-35393</v>
      </c>
      <c r="S139" s="216">
        <v>-28993</v>
      </c>
      <c r="T139" s="216">
        <v>-22593</v>
      </c>
      <c r="U139" s="216">
        <v>-21193</v>
      </c>
      <c r="V139" s="216">
        <v>-24793</v>
      </c>
      <c r="W139" s="169"/>
    </row>
    <row r="140" spans="1:23" ht="18" x14ac:dyDescent="0.25">
      <c r="A140" s="20" t="s">
        <v>23</v>
      </c>
      <c r="B140" s="52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169"/>
    </row>
    <row r="141" spans="1:23" ht="15" x14ac:dyDescent="0.2">
      <c r="A141" s="128" t="s">
        <v>24</v>
      </c>
      <c r="B141" s="128"/>
      <c r="C141" s="129">
        <v>0</v>
      </c>
      <c r="D141" s="129">
        <v>1404.5</v>
      </c>
      <c r="E141" s="129">
        <v>0</v>
      </c>
      <c r="F141" s="129">
        <v>0</v>
      </c>
      <c r="G141" s="129">
        <v>0</v>
      </c>
      <c r="H141" s="129">
        <v>0</v>
      </c>
      <c r="I141" s="129">
        <v>0</v>
      </c>
      <c r="J141" s="129">
        <v>0</v>
      </c>
      <c r="K141" s="129">
        <v>0</v>
      </c>
      <c r="L141" s="129">
        <v>0</v>
      </c>
      <c r="M141" s="129">
        <v>0</v>
      </c>
      <c r="N141" s="129">
        <v>0</v>
      </c>
      <c r="O141" s="129">
        <v>0</v>
      </c>
      <c r="P141" s="129">
        <v>0</v>
      </c>
      <c r="Q141" s="129">
        <v>0</v>
      </c>
      <c r="R141" s="129">
        <v>0</v>
      </c>
      <c r="S141" s="129">
        <v>0</v>
      </c>
      <c r="T141" s="129">
        <v>0</v>
      </c>
      <c r="U141" s="129">
        <v>0</v>
      </c>
      <c r="V141" s="129">
        <v>0</v>
      </c>
      <c r="W141" s="180"/>
    </row>
    <row r="142" spans="1:23" ht="15" x14ac:dyDescent="0.2">
      <c r="A142" s="19"/>
      <c r="B142" s="54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168"/>
    </row>
    <row r="147" spans="3:3" ht="15" x14ac:dyDescent="0.25">
      <c r="C147" s="278"/>
    </row>
  </sheetData>
  <mergeCells count="5">
    <mergeCell ref="A96:A97"/>
    <mergeCell ref="A14:A15"/>
    <mergeCell ref="M22:N22"/>
    <mergeCell ref="C1:F2"/>
    <mergeCell ref="L4:O4"/>
  </mergeCells>
  <conditionalFormatting sqref="D71:V71">
    <cfRule type="cellIs" dxfId="4" priority="2" stopIfTrue="1" operator="equal">
      <formula>0</formula>
    </cfRule>
  </conditionalFormatting>
  <conditionalFormatting sqref="O22 Q22">
    <cfRule type="expression" dxfId="3" priority="1">
      <formula>$L$1="TVA RSA - solde exerce comptable  (acompte)"</formula>
    </cfRule>
  </conditionalFormatting>
  <pageMargins left="0.78740157499999996" right="0.78740157499999996" top="0.984251969" bottom="0.984251969" header="0.4921259845" footer="0.4921259845"/>
  <pageSetup paperSize="9" scale="49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'type TVA'!$A$2:$A$6</xm:f>
          </x14:formula1>
          <xm:sqref>L20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04"/>
  <sheetViews>
    <sheetView showGridLines="0" zoomScale="80" zoomScaleNormal="8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E13" sqref="E13:E17"/>
    </sheetView>
  </sheetViews>
  <sheetFormatPr baseColWidth="10" defaultRowHeight="12.75" x14ac:dyDescent="0.2"/>
  <cols>
    <col min="1" max="1" width="4.42578125" style="1" customWidth="1"/>
    <col min="2" max="2" width="51.140625" style="1" customWidth="1"/>
    <col min="3" max="3" width="5.5703125" style="1" customWidth="1"/>
    <col min="4" max="23" width="16.7109375" style="5" customWidth="1"/>
    <col min="24" max="24" width="16.7109375" style="1" customWidth="1"/>
    <col min="25" max="16384" width="11.42578125" style="1"/>
  </cols>
  <sheetData>
    <row r="1" spans="1:24" ht="17.25" customHeight="1" thickBot="1" x14ac:dyDescent="0.35">
      <c r="D1" s="81" t="s">
        <v>63</v>
      </c>
      <c r="F1" s="83"/>
      <c r="G1" s="93" t="s">
        <v>0</v>
      </c>
      <c r="K1" s="239" t="s">
        <v>73</v>
      </c>
      <c r="L1" s="280" t="s">
        <v>82</v>
      </c>
      <c r="M1" s="281"/>
      <c r="N1" s="279"/>
      <c r="R1" s="82"/>
      <c r="S1" s="82"/>
      <c r="T1" s="82"/>
      <c r="U1" s="82"/>
      <c r="V1" s="82"/>
    </row>
    <row r="2" spans="1:24" ht="17.25" customHeight="1" thickBot="1" x14ac:dyDescent="0.3">
      <c r="B2" s="34"/>
      <c r="C2" s="34"/>
      <c r="D2" s="90"/>
      <c r="E2" s="90"/>
      <c r="F2" s="90"/>
      <c r="G2" s="90"/>
      <c r="H2" s="242"/>
      <c r="J2" s="242"/>
      <c r="K2" s="239" t="s">
        <v>65</v>
      </c>
      <c r="L2" s="184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87"/>
    </row>
    <row r="3" spans="1:24" ht="17.25" customHeight="1" thickBot="1" x14ac:dyDescent="0.3">
      <c r="B3" s="3" t="s">
        <v>45</v>
      </c>
      <c r="C3" s="3"/>
      <c r="D3" s="163">
        <v>44317</v>
      </c>
      <c r="E3" s="90"/>
      <c r="J3" s="90"/>
      <c r="K3" s="239" t="s">
        <v>74</v>
      </c>
      <c r="L3" s="184"/>
      <c r="M3" s="253" t="s">
        <v>90</v>
      </c>
      <c r="N3" s="254"/>
      <c r="O3" s="133"/>
      <c r="P3" s="132" t="s">
        <v>91</v>
      </c>
      <c r="Q3" s="133"/>
      <c r="R3" s="90"/>
      <c r="S3" s="90"/>
      <c r="T3" s="90"/>
      <c r="U3" s="90"/>
      <c r="V3" s="90"/>
      <c r="W3" s="90"/>
      <c r="X3" s="87"/>
    </row>
    <row r="4" spans="1:24" ht="17.25" customHeight="1" thickBot="1" x14ac:dyDescent="0.3">
      <c r="B4" s="118"/>
      <c r="C4" s="95" t="s">
        <v>59</v>
      </c>
      <c r="D4" s="162" t="str">
        <f>TEXT(D3,"mmmm aa")</f>
        <v>mai 21</v>
      </c>
      <c r="E4" s="96">
        <f>EDATE(D4,1)</f>
        <v>44348</v>
      </c>
      <c r="F4" s="96">
        <f t="shared" ref="F4:O4" si="0">EDATE(E4,1)</f>
        <v>44378</v>
      </c>
      <c r="G4" s="96">
        <f t="shared" si="0"/>
        <v>44409</v>
      </c>
      <c r="H4" s="96">
        <f t="shared" si="0"/>
        <v>44440</v>
      </c>
      <c r="I4" s="96">
        <f t="shared" si="0"/>
        <v>44470</v>
      </c>
      <c r="J4" s="96">
        <f t="shared" si="0"/>
        <v>44501</v>
      </c>
      <c r="K4" s="96">
        <f t="shared" si="0"/>
        <v>44531</v>
      </c>
      <c r="L4" s="185">
        <f t="shared" si="0"/>
        <v>44562</v>
      </c>
      <c r="M4" s="96">
        <f t="shared" si="0"/>
        <v>44593</v>
      </c>
      <c r="N4" s="96">
        <f t="shared" si="0"/>
        <v>44621</v>
      </c>
      <c r="O4" s="96">
        <f t="shared" si="0"/>
        <v>44652</v>
      </c>
      <c r="P4" s="96">
        <f t="shared" ref="P4:W4" si="1">EDATE(O4,1)</f>
        <v>44682</v>
      </c>
      <c r="Q4" s="96">
        <f t="shared" si="1"/>
        <v>44713</v>
      </c>
      <c r="R4" s="96">
        <f t="shared" si="1"/>
        <v>44743</v>
      </c>
      <c r="S4" s="96">
        <f t="shared" si="1"/>
        <v>44774</v>
      </c>
      <c r="T4" s="96">
        <f t="shared" si="1"/>
        <v>44805</v>
      </c>
      <c r="U4" s="96">
        <f t="shared" si="1"/>
        <v>44835</v>
      </c>
      <c r="V4" s="96">
        <f t="shared" si="1"/>
        <v>44866</v>
      </c>
      <c r="W4" s="96">
        <f t="shared" si="1"/>
        <v>44896</v>
      </c>
      <c r="X4" s="91" t="s">
        <v>12</v>
      </c>
    </row>
    <row r="5" spans="1:24" ht="17.25" hidden="1" customHeight="1" x14ac:dyDescent="0.3">
      <c r="B5" s="119"/>
      <c r="C5" s="56"/>
      <c r="D5" s="161">
        <f>MONTH(D4)</f>
        <v>5</v>
      </c>
      <c r="E5" s="40">
        <f>MONTH(E4)</f>
        <v>6</v>
      </c>
      <c r="F5" s="40">
        <f t="shared" ref="F5:W5" si="2">MONTH(F4)</f>
        <v>7</v>
      </c>
      <c r="G5" s="40">
        <f t="shared" si="2"/>
        <v>8</v>
      </c>
      <c r="H5" s="40">
        <f t="shared" si="2"/>
        <v>9</v>
      </c>
      <c r="I5" s="40">
        <f t="shared" si="2"/>
        <v>10</v>
      </c>
      <c r="J5" s="40">
        <f t="shared" si="2"/>
        <v>11</v>
      </c>
      <c r="K5" s="40">
        <f t="shared" si="2"/>
        <v>12</v>
      </c>
      <c r="L5" s="40">
        <f t="shared" si="2"/>
        <v>1</v>
      </c>
      <c r="M5" s="40">
        <f t="shared" si="2"/>
        <v>2</v>
      </c>
      <c r="N5" s="40">
        <f t="shared" si="2"/>
        <v>3</v>
      </c>
      <c r="O5" s="40">
        <f t="shared" si="2"/>
        <v>4</v>
      </c>
      <c r="P5" s="40">
        <f t="shared" si="2"/>
        <v>5</v>
      </c>
      <c r="Q5" s="40">
        <f t="shared" si="2"/>
        <v>6</v>
      </c>
      <c r="R5" s="40">
        <f t="shared" si="2"/>
        <v>7</v>
      </c>
      <c r="S5" s="40">
        <f t="shared" si="2"/>
        <v>8</v>
      </c>
      <c r="T5" s="40">
        <f t="shared" si="2"/>
        <v>9</v>
      </c>
      <c r="U5" s="40">
        <f t="shared" si="2"/>
        <v>10</v>
      </c>
      <c r="V5" s="40">
        <f t="shared" si="2"/>
        <v>11</v>
      </c>
      <c r="W5" s="40">
        <f t="shared" si="2"/>
        <v>12</v>
      </c>
      <c r="X5" s="39"/>
    </row>
    <row r="6" spans="1:24" ht="17.25" customHeight="1" thickBot="1" x14ac:dyDescent="0.3">
      <c r="A6" s="159"/>
      <c r="B6" s="158" t="s">
        <v>13</v>
      </c>
      <c r="C6" s="160"/>
      <c r="D6" s="164"/>
      <c r="E6" s="243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5"/>
      <c r="Q6" s="245"/>
      <c r="R6" s="245"/>
      <c r="S6" s="245"/>
      <c r="T6" s="245"/>
      <c r="U6" s="245"/>
      <c r="V6" s="245"/>
      <c r="W6" s="245"/>
      <c r="X6" s="71"/>
    </row>
    <row r="7" spans="1:24" ht="17.25" customHeight="1" x14ac:dyDescent="0.25">
      <c r="B7" s="142" t="s">
        <v>14</v>
      </c>
      <c r="C7" s="58"/>
      <c r="D7" s="246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71"/>
    </row>
    <row r="8" spans="1:24" ht="17.25" customHeight="1" x14ac:dyDescent="0.25">
      <c r="A8" s="256" t="s">
        <v>14</v>
      </c>
      <c r="B8" s="229" t="s">
        <v>100</v>
      </c>
      <c r="C8" s="230">
        <v>10</v>
      </c>
      <c r="D8" s="73"/>
      <c r="E8" s="73"/>
      <c r="F8" s="73"/>
      <c r="G8" s="73"/>
      <c r="H8" s="73"/>
      <c r="I8" s="73"/>
      <c r="J8" s="74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5">
        <f>SUM(D8:W8)</f>
        <v>0</v>
      </c>
    </row>
    <row r="9" spans="1:24" ht="17.25" customHeight="1" x14ac:dyDescent="0.25">
      <c r="A9" s="257"/>
      <c r="B9" s="229" t="s">
        <v>101</v>
      </c>
      <c r="C9" s="230">
        <v>20</v>
      </c>
      <c r="D9" s="73"/>
      <c r="E9" s="73"/>
      <c r="F9" s="73"/>
      <c r="G9" s="73"/>
      <c r="H9" s="73"/>
      <c r="I9" s="73"/>
      <c r="J9" s="74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5">
        <f t="shared" ref="X9:X21" si="3">SUM(D9:W9)</f>
        <v>0</v>
      </c>
    </row>
    <row r="10" spans="1:24" ht="17.25" customHeight="1" x14ac:dyDescent="0.25">
      <c r="A10" s="257"/>
      <c r="B10" s="231" t="s">
        <v>102</v>
      </c>
      <c r="C10" s="230">
        <v>20</v>
      </c>
      <c r="D10" s="73"/>
      <c r="E10" s="73"/>
      <c r="F10" s="73"/>
      <c r="G10" s="73"/>
      <c r="H10" s="73"/>
      <c r="I10" s="73"/>
      <c r="J10" s="74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5">
        <f t="shared" si="3"/>
        <v>0</v>
      </c>
    </row>
    <row r="11" spans="1:24" ht="17.25" customHeight="1" x14ac:dyDescent="0.25">
      <c r="A11" s="257"/>
      <c r="B11" s="231" t="s">
        <v>103</v>
      </c>
      <c r="C11" s="230">
        <v>20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5">
        <f t="shared" si="3"/>
        <v>0</v>
      </c>
    </row>
    <row r="12" spans="1:24" ht="17.25" customHeight="1" x14ac:dyDescent="0.25">
      <c r="A12" s="257"/>
      <c r="B12" s="231" t="s">
        <v>104</v>
      </c>
      <c r="C12" s="230">
        <v>20</v>
      </c>
      <c r="D12" s="73"/>
      <c r="E12" s="73"/>
      <c r="F12" s="73"/>
      <c r="G12" s="73"/>
      <c r="H12" s="73"/>
      <c r="I12" s="73"/>
      <c r="J12" s="74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5">
        <f t="shared" si="3"/>
        <v>0</v>
      </c>
    </row>
    <row r="13" spans="1:24" ht="17.25" customHeight="1" x14ac:dyDescent="0.25">
      <c r="A13" s="257"/>
      <c r="B13" s="231" t="s">
        <v>105</v>
      </c>
      <c r="C13" s="230">
        <v>20</v>
      </c>
      <c r="D13" s="73"/>
      <c r="E13" s="73"/>
      <c r="F13" s="73"/>
      <c r="G13" s="73"/>
      <c r="H13" s="73"/>
      <c r="I13" s="73"/>
      <c r="J13" s="74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5">
        <f t="shared" si="3"/>
        <v>0</v>
      </c>
    </row>
    <row r="14" spans="1:24" ht="17.25" customHeight="1" x14ac:dyDescent="0.25">
      <c r="A14" s="257"/>
      <c r="B14" s="232"/>
      <c r="C14" s="233"/>
      <c r="D14" s="73"/>
      <c r="E14" s="73"/>
      <c r="F14" s="73"/>
      <c r="G14" s="73"/>
      <c r="H14" s="73"/>
      <c r="I14" s="73"/>
      <c r="J14" s="74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5">
        <f t="shared" si="3"/>
        <v>0</v>
      </c>
    </row>
    <row r="15" spans="1:24" ht="17.25" customHeight="1" x14ac:dyDescent="0.25">
      <c r="A15" s="257"/>
      <c r="B15" s="232"/>
      <c r="C15" s="233"/>
      <c r="D15" s="73"/>
      <c r="E15" s="73"/>
      <c r="F15" s="73"/>
      <c r="G15" s="73"/>
      <c r="H15" s="73"/>
      <c r="I15" s="73"/>
      <c r="J15" s="74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5">
        <f t="shared" si="3"/>
        <v>0</v>
      </c>
    </row>
    <row r="16" spans="1:24" ht="17.25" customHeight="1" x14ac:dyDescent="0.25">
      <c r="A16" s="257"/>
      <c r="B16" s="232"/>
      <c r="C16" s="233"/>
      <c r="D16" s="73"/>
      <c r="E16" s="73"/>
      <c r="F16" s="73"/>
      <c r="G16" s="73"/>
      <c r="H16" s="73"/>
      <c r="I16" s="73"/>
      <c r="J16" s="74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5">
        <f t="shared" si="3"/>
        <v>0</v>
      </c>
    </row>
    <row r="17" spans="1:24" ht="17.25" customHeight="1" x14ac:dyDescent="0.25">
      <c r="A17" s="257"/>
      <c r="B17" s="232"/>
      <c r="C17" s="233"/>
      <c r="D17" s="73"/>
      <c r="E17" s="73"/>
      <c r="F17" s="73"/>
      <c r="G17" s="73"/>
      <c r="H17" s="73"/>
      <c r="I17" s="73"/>
      <c r="J17" s="74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5">
        <f t="shared" si="3"/>
        <v>0</v>
      </c>
    </row>
    <row r="18" spans="1:24" ht="17.25" customHeight="1" x14ac:dyDescent="0.25">
      <c r="A18" s="257"/>
      <c r="B18" s="231" t="s">
        <v>146</v>
      </c>
      <c r="C18" s="230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5">
        <f t="shared" si="3"/>
        <v>0</v>
      </c>
    </row>
    <row r="19" spans="1:24" ht="17.25" customHeight="1" x14ac:dyDescent="0.25">
      <c r="A19" s="257"/>
      <c r="B19" s="231" t="s">
        <v>99</v>
      </c>
      <c r="C19" s="230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5">
        <f t="shared" si="3"/>
        <v>0</v>
      </c>
    </row>
    <row r="20" spans="1:24" ht="17.25" customHeight="1" x14ac:dyDescent="0.25">
      <c r="A20" s="257"/>
      <c r="B20" s="231" t="s">
        <v>98</v>
      </c>
      <c r="C20" s="230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5">
        <f t="shared" si="3"/>
        <v>0</v>
      </c>
    </row>
    <row r="21" spans="1:24" ht="17.25" customHeight="1" x14ac:dyDescent="0.25">
      <c r="A21" s="257"/>
      <c r="B21" s="231" t="s">
        <v>122</v>
      </c>
      <c r="C21" s="230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5">
        <f t="shared" si="3"/>
        <v>0</v>
      </c>
    </row>
    <row r="22" spans="1:24" ht="17.25" customHeight="1" thickBot="1" x14ac:dyDescent="0.3">
      <c r="A22" s="257"/>
      <c r="B22" s="144"/>
      <c r="C22" s="59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77"/>
    </row>
    <row r="23" spans="1:24" ht="17.25" customHeight="1" thickBot="1" x14ac:dyDescent="0.3">
      <c r="A23" s="196"/>
      <c r="B23" s="146" t="s">
        <v>79</v>
      </c>
      <c r="C23" s="98"/>
      <c r="D23" s="99">
        <f t="shared" ref="D23:W23" si="4">SUM(D8:D21)</f>
        <v>0</v>
      </c>
      <c r="E23" s="99">
        <f t="shared" si="4"/>
        <v>0</v>
      </c>
      <c r="F23" s="99">
        <f t="shared" si="4"/>
        <v>0</v>
      </c>
      <c r="G23" s="99">
        <f t="shared" si="4"/>
        <v>0</v>
      </c>
      <c r="H23" s="99">
        <f t="shared" si="4"/>
        <v>0</v>
      </c>
      <c r="I23" s="99">
        <f t="shared" si="4"/>
        <v>0</v>
      </c>
      <c r="J23" s="99">
        <f t="shared" si="4"/>
        <v>0</v>
      </c>
      <c r="K23" s="99">
        <f t="shared" si="4"/>
        <v>0</v>
      </c>
      <c r="L23" s="99">
        <f t="shared" si="4"/>
        <v>0</v>
      </c>
      <c r="M23" s="99">
        <f t="shared" si="4"/>
        <v>0</v>
      </c>
      <c r="N23" s="99">
        <f t="shared" si="4"/>
        <v>0</v>
      </c>
      <c r="O23" s="99">
        <f t="shared" si="4"/>
        <v>0</v>
      </c>
      <c r="P23" s="99">
        <f t="shared" si="4"/>
        <v>0</v>
      </c>
      <c r="Q23" s="99">
        <f t="shared" si="4"/>
        <v>0</v>
      </c>
      <c r="R23" s="99">
        <f t="shared" si="4"/>
        <v>0</v>
      </c>
      <c r="S23" s="99">
        <f t="shared" si="4"/>
        <v>0</v>
      </c>
      <c r="T23" s="99">
        <f t="shared" si="4"/>
        <v>0</v>
      </c>
      <c r="U23" s="99">
        <f t="shared" si="4"/>
        <v>0</v>
      </c>
      <c r="V23" s="99">
        <f t="shared" si="4"/>
        <v>0</v>
      </c>
      <c r="W23" s="99">
        <f t="shared" si="4"/>
        <v>0</v>
      </c>
      <c r="X23" s="110">
        <f>SUM(D23:O23)</f>
        <v>0</v>
      </c>
    </row>
    <row r="24" spans="1:24" ht="17.25" customHeight="1" x14ac:dyDescent="0.25">
      <c r="A24" s="145"/>
      <c r="B24" s="142" t="s">
        <v>18</v>
      </c>
      <c r="C24" s="58"/>
      <c r="D24" s="248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71"/>
    </row>
    <row r="25" spans="1:24" ht="17.25" customHeight="1" x14ac:dyDescent="0.25">
      <c r="A25" s="256" t="s">
        <v>18</v>
      </c>
      <c r="B25" s="231" t="s">
        <v>106</v>
      </c>
      <c r="C25" s="230">
        <v>20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5">
        <f>SUM(D25:O25)</f>
        <v>0</v>
      </c>
    </row>
    <row r="26" spans="1:24" ht="17.25" customHeight="1" x14ac:dyDescent="0.25">
      <c r="A26" s="257"/>
      <c r="B26" s="231" t="s">
        <v>85</v>
      </c>
      <c r="C26" s="230">
        <v>10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5">
        <f t="shared" ref="X26:X53" si="5">SUM(D26:O26)</f>
        <v>0</v>
      </c>
    </row>
    <row r="27" spans="1:24" ht="17.25" customHeight="1" x14ac:dyDescent="0.25">
      <c r="A27" s="257"/>
      <c r="B27" s="231" t="s">
        <v>107</v>
      </c>
      <c r="C27" s="230">
        <v>20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5">
        <f t="shared" si="5"/>
        <v>0</v>
      </c>
    </row>
    <row r="28" spans="1:24" ht="17.25" customHeight="1" x14ac:dyDescent="0.25">
      <c r="A28" s="257"/>
      <c r="B28" s="231" t="s">
        <v>108</v>
      </c>
      <c r="C28" s="230">
        <v>20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5">
        <f t="shared" si="5"/>
        <v>0</v>
      </c>
    </row>
    <row r="29" spans="1:24" ht="17.25" customHeight="1" x14ac:dyDescent="0.25">
      <c r="A29" s="257"/>
      <c r="B29" s="231" t="s">
        <v>109</v>
      </c>
      <c r="C29" s="230">
        <v>20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5">
        <f t="shared" si="5"/>
        <v>0</v>
      </c>
    </row>
    <row r="30" spans="1:24" ht="17.25" customHeight="1" x14ac:dyDescent="0.25">
      <c r="A30" s="257"/>
      <c r="B30" s="231" t="s">
        <v>110</v>
      </c>
      <c r="C30" s="230">
        <v>5.5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5">
        <f t="shared" si="5"/>
        <v>0</v>
      </c>
    </row>
    <row r="31" spans="1:24" ht="17.25" customHeight="1" x14ac:dyDescent="0.25">
      <c r="A31" s="257"/>
      <c r="B31" s="231" t="s">
        <v>111</v>
      </c>
      <c r="C31" s="230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5">
        <f t="shared" si="5"/>
        <v>0</v>
      </c>
    </row>
    <row r="32" spans="1:24" ht="17.25" customHeight="1" x14ac:dyDescent="0.25">
      <c r="A32" s="257"/>
      <c r="B32" s="231" t="s">
        <v>112</v>
      </c>
      <c r="C32" s="230">
        <v>20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5">
        <f t="shared" si="5"/>
        <v>0</v>
      </c>
    </row>
    <row r="33" spans="1:24" ht="17.25" customHeight="1" x14ac:dyDescent="0.25">
      <c r="A33" s="257"/>
      <c r="B33" s="231" t="s">
        <v>32</v>
      </c>
      <c r="C33" s="230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5">
        <f t="shared" si="5"/>
        <v>0</v>
      </c>
    </row>
    <row r="34" spans="1:24" ht="17.25" customHeight="1" x14ac:dyDescent="0.25">
      <c r="A34" s="257"/>
      <c r="B34" s="231" t="s">
        <v>113</v>
      </c>
      <c r="C34" s="230">
        <v>20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5">
        <f t="shared" si="5"/>
        <v>0</v>
      </c>
    </row>
    <row r="35" spans="1:24" ht="17.25" customHeight="1" x14ac:dyDescent="0.25">
      <c r="A35" s="257"/>
      <c r="B35" s="231" t="s">
        <v>114</v>
      </c>
      <c r="C35" s="230">
        <v>20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5">
        <f t="shared" si="5"/>
        <v>0</v>
      </c>
    </row>
    <row r="36" spans="1:24" ht="17.25" customHeight="1" x14ac:dyDescent="0.25">
      <c r="A36" s="257"/>
      <c r="B36" s="231" t="s">
        <v>115</v>
      </c>
      <c r="C36" s="230">
        <v>20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5">
        <f t="shared" si="5"/>
        <v>0</v>
      </c>
    </row>
    <row r="37" spans="1:24" ht="17.25" customHeight="1" x14ac:dyDescent="0.25">
      <c r="A37" s="257"/>
      <c r="B37" s="231" t="s">
        <v>116</v>
      </c>
      <c r="C37" s="230">
        <v>20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5">
        <f t="shared" si="5"/>
        <v>0</v>
      </c>
    </row>
    <row r="38" spans="1:24" ht="17.25" customHeight="1" x14ac:dyDescent="0.25">
      <c r="A38" s="257"/>
      <c r="B38" s="231" t="s">
        <v>33</v>
      </c>
      <c r="C38" s="230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5">
        <f t="shared" si="5"/>
        <v>0</v>
      </c>
    </row>
    <row r="39" spans="1:24" ht="17.25" customHeight="1" x14ac:dyDescent="0.25">
      <c r="A39" s="257"/>
      <c r="B39" s="231" t="s">
        <v>117</v>
      </c>
      <c r="C39" s="230">
        <v>20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5">
        <f t="shared" si="5"/>
        <v>0</v>
      </c>
    </row>
    <row r="40" spans="1:24" ht="17.25" customHeight="1" x14ac:dyDescent="0.25">
      <c r="A40" s="257"/>
      <c r="B40" s="231" t="s">
        <v>118</v>
      </c>
      <c r="C40" s="230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5">
        <f t="shared" si="5"/>
        <v>0</v>
      </c>
    </row>
    <row r="41" spans="1:24" ht="17.25" customHeight="1" x14ac:dyDescent="0.25">
      <c r="A41" s="257"/>
      <c r="B41" s="231" t="s">
        <v>35</v>
      </c>
      <c r="C41" s="230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5">
        <f t="shared" si="5"/>
        <v>0</v>
      </c>
    </row>
    <row r="42" spans="1:24" ht="17.25" customHeight="1" x14ac:dyDescent="0.25">
      <c r="A42" s="257"/>
      <c r="B42" s="228"/>
      <c r="C42" s="234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5">
        <f t="shared" si="5"/>
        <v>0</v>
      </c>
    </row>
    <row r="43" spans="1:24" ht="17.25" customHeight="1" x14ac:dyDescent="0.25">
      <c r="A43" s="257"/>
      <c r="B43" s="231" t="s">
        <v>36</v>
      </c>
      <c r="C43" s="230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5">
        <f t="shared" si="5"/>
        <v>0</v>
      </c>
    </row>
    <row r="44" spans="1:24" ht="17.25" customHeight="1" x14ac:dyDescent="0.25">
      <c r="A44" s="257"/>
      <c r="B44" s="231" t="s">
        <v>34</v>
      </c>
      <c r="C44" s="230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5">
        <f t="shared" si="5"/>
        <v>0</v>
      </c>
    </row>
    <row r="45" spans="1:24" ht="17.25" customHeight="1" x14ac:dyDescent="0.25">
      <c r="A45" s="257"/>
      <c r="B45" s="232"/>
      <c r="C45" s="235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5">
        <f t="shared" si="5"/>
        <v>0</v>
      </c>
    </row>
    <row r="46" spans="1:24" ht="17.25" customHeight="1" x14ac:dyDescent="0.25">
      <c r="A46" s="257"/>
      <c r="B46" s="232"/>
      <c r="C46" s="235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5">
        <f t="shared" si="5"/>
        <v>0</v>
      </c>
    </row>
    <row r="47" spans="1:24" ht="17.25" customHeight="1" x14ac:dyDescent="0.25">
      <c r="A47" s="257"/>
      <c r="B47" s="232"/>
      <c r="C47" s="235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5">
        <f t="shared" si="5"/>
        <v>0</v>
      </c>
    </row>
    <row r="48" spans="1:24" ht="17.25" customHeight="1" x14ac:dyDescent="0.25">
      <c r="A48" s="257"/>
      <c r="B48" s="236"/>
      <c r="C48" s="237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5">
        <f t="shared" si="5"/>
        <v>0</v>
      </c>
    </row>
    <row r="49" spans="1:24" ht="17.25" customHeight="1" x14ac:dyDescent="0.25">
      <c r="A49" s="257"/>
      <c r="B49" s="231"/>
      <c r="C49" s="230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5">
        <f t="shared" si="5"/>
        <v>0</v>
      </c>
    </row>
    <row r="50" spans="1:24" ht="17.25" customHeight="1" x14ac:dyDescent="0.25">
      <c r="A50" s="257"/>
      <c r="B50" s="231" t="s">
        <v>37</v>
      </c>
      <c r="C50" s="230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5">
        <f t="shared" si="5"/>
        <v>0</v>
      </c>
    </row>
    <row r="51" spans="1:24" ht="17.25" customHeight="1" x14ac:dyDescent="0.25">
      <c r="A51" s="257"/>
      <c r="B51" s="231" t="s">
        <v>38</v>
      </c>
      <c r="C51" s="230">
        <v>20</v>
      </c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5">
        <f t="shared" si="5"/>
        <v>0</v>
      </c>
    </row>
    <row r="52" spans="1:24" ht="17.25" customHeight="1" x14ac:dyDescent="0.25">
      <c r="A52" s="257"/>
      <c r="B52" s="231" t="s">
        <v>123</v>
      </c>
      <c r="C52" s="230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5"/>
    </row>
    <row r="53" spans="1:24" ht="17.25" customHeight="1" x14ac:dyDescent="0.25">
      <c r="A53" s="257"/>
      <c r="B53" s="144"/>
      <c r="C53" s="5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>
        <f t="shared" si="5"/>
        <v>0</v>
      </c>
    </row>
    <row r="54" spans="1:24" ht="17.25" customHeight="1" x14ac:dyDescent="0.25">
      <c r="A54" s="258"/>
      <c r="B54" s="146" t="s">
        <v>80</v>
      </c>
      <c r="C54" s="100"/>
      <c r="D54" s="99">
        <f>SUM(D25:D53)</f>
        <v>0</v>
      </c>
      <c r="E54" s="99">
        <f t="shared" ref="E54:W54" si="6">SUM(E25:E53)</f>
        <v>0</v>
      </c>
      <c r="F54" s="99">
        <f t="shared" si="6"/>
        <v>0</v>
      </c>
      <c r="G54" s="99">
        <f t="shared" si="6"/>
        <v>0</v>
      </c>
      <c r="H54" s="99">
        <f t="shared" si="6"/>
        <v>0</v>
      </c>
      <c r="I54" s="99">
        <f t="shared" si="6"/>
        <v>0</v>
      </c>
      <c r="J54" s="99">
        <f t="shared" si="6"/>
        <v>0</v>
      </c>
      <c r="K54" s="99">
        <f t="shared" si="6"/>
        <v>0</v>
      </c>
      <c r="L54" s="99">
        <f t="shared" si="6"/>
        <v>0</v>
      </c>
      <c r="M54" s="99">
        <f t="shared" si="6"/>
        <v>0</v>
      </c>
      <c r="N54" s="99">
        <f t="shared" si="6"/>
        <v>0</v>
      </c>
      <c r="O54" s="99">
        <f t="shared" si="6"/>
        <v>0</v>
      </c>
      <c r="P54" s="99">
        <f t="shared" si="6"/>
        <v>0</v>
      </c>
      <c r="Q54" s="99">
        <f t="shared" si="6"/>
        <v>0</v>
      </c>
      <c r="R54" s="99">
        <f t="shared" si="6"/>
        <v>0</v>
      </c>
      <c r="S54" s="99">
        <f t="shared" si="6"/>
        <v>0</v>
      </c>
      <c r="T54" s="99">
        <f t="shared" si="6"/>
        <v>0</v>
      </c>
      <c r="U54" s="99">
        <f t="shared" si="6"/>
        <v>0</v>
      </c>
      <c r="V54" s="99">
        <f t="shared" si="6"/>
        <v>0</v>
      </c>
      <c r="W54" s="111">
        <f t="shared" si="6"/>
        <v>0</v>
      </c>
      <c r="X54" s="115">
        <f>SUM(D54:O54)</f>
        <v>0</v>
      </c>
    </row>
    <row r="55" spans="1:24" ht="17.25" customHeight="1" x14ac:dyDescent="0.25">
      <c r="A55" s="151"/>
      <c r="B55" s="146" t="s">
        <v>20</v>
      </c>
      <c r="C55" s="102"/>
      <c r="D55" s="103">
        <f t="shared" ref="D55:O55" si="7">D23-D54</f>
        <v>0</v>
      </c>
      <c r="E55" s="103">
        <f t="shared" si="7"/>
        <v>0</v>
      </c>
      <c r="F55" s="103">
        <f t="shared" si="7"/>
        <v>0</v>
      </c>
      <c r="G55" s="103">
        <f t="shared" si="7"/>
        <v>0</v>
      </c>
      <c r="H55" s="103">
        <f t="shared" si="7"/>
        <v>0</v>
      </c>
      <c r="I55" s="103">
        <f t="shared" si="7"/>
        <v>0</v>
      </c>
      <c r="J55" s="103">
        <f t="shared" si="7"/>
        <v>0</v>
      </c>
      <c r="K55" s="103">
        <f t="shared" si="7"/>
        <v>0</v>
      </c>
      <c r="L55" s="103">
        <f t="shared" si="7"/>
        <v>0</v>
      </c>
      <c r="M55" s="103">
        <f t="shared" si="7"/>
        <v>0</v>
      </c>
      <c r="N55" s="103">
        <f t="shared" si="7"/>
        <v>0</v>
      </c>
      <c r="O55" s="103">
        <f t="shared" si="7"/>
        <v>0</v>
      </c>
      <c r="P55" s="103">
        <f t="shared" ref="P55:W55" si="8">P23-P54</f>
        <v>0</v>
      </c>
      <c r="Q55" s="103">
        <f t="shared" si="8"/>
        <v>0</v>
      </c>
      <c r="R55" s="103">
        <f t="shared" si="8"/>
        <v>0</v>
      </c>
      <c r="S55" s="103">
        <f t="shared" si="8"/>
        <v>0</v>
      </c>
      <c r="T55" s="103">
        <f t="shared" si="8"/>
        <v>0</v>
      </c>
      <c r="U55" s="103">
        <f t="shared" si="8"/>
        <v>0</v>
      </c>
      <c r="V55" s="103">
        <f t="shared" si="8"/>
        <v>0</v>
      </c>
      <c r="W55" s="112">
        <f t="shared" si="8"/>
        <v>0</v>
      </c>
      <c r="X55" s="115"/>
    </row>
    <row r="56" spans="1:24" ht="17.25" customHeight="1" x14ac:dyDescent="0.25">
      <c r="A56" s="147"/>
      <c r="B56" s="148"/>
      <c r="C56" s="105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13"/>
      <c r="X56" s="116"/>
    </row>
    <row r="57" spans="1:24" ht="17.25" customHeight="1" x14ac:dyDescent="0.25">
      <c r="A57" s="147"/>
      <c r="B57" s="149" t="s">
        <v>58</v>
      </c>
      <c r="C57" s="102"/>
      <c r="D57" s="108">
        <f>D6+D55</f>
        <v>0</v>
      </c>
      <c r="E57" s="109">
        <f>D57+E55</f>
        <v>0</v>
      </c>
      <c r="F57" s="109">
        <f t="shared" ref="F57:O57" si="9">E57+F55</f>
        <v>0</v>
      </c>
      <c r="G57" s="109">
        <f t="shared" si="9"/>
        <v>0</v>
      </c>
      <c r="H57" s="109">
        <f t="shared" si="9"/>
        <v>0</v>
      </c>
      <c r="I57" s="109">
        <f t="shared" si="9"/>
        <v>0</v>
      </c>
      <c r="J57" s="109">
        <f t="shared" si="9"/>
        <v>0</v>
      </c>
      <c r="K57" s="109">
        <f t="shared" si="9"/>
        <v>0</v>
      </c>
      <c r="L57" s="109">
        <f t="shared" si="9"/>
        <v>0</v>
      </c>
      <c r="M57" s="109">
        <f t="shared" si="9"/>
        <v>0</v>
      </c>
      <c r="N57" s="109">
        <f t="shared" si="9"/>
        <v>0</v>
      </c>
      <c r="O57" s="109">
        <f t="shared" si="9"/>
        <v>0</v>
      </c>
      <c r="P57" s="109">
        <f t="shared" ref="P57:W57" si="10">O57+P55</f>
        <v>0</v>
      </c>
      <c r="Q57" s="109">
        <f t="shared" si="10"/>
        <v>0</v>
      </c>
      <c r="R57" s="109">
        <f t="shared" si="10"/>
        <v>0</v>
      </c>
      <c r="S57" s="109">
        <f t="shared" si="10"/>
        <v>0</v>
      </c>
      <c r="T57" s="109">
        <f t="shared" si="10"/>
        <v>0</v>
      </c>
      <c r="U57" s="109">
        <f t="shared" si="10"/>
        <v>0</v>
      </c>
      <c r="V57" s="109">
        <f t="shared" si="10"/>
        <v>0</v>
      </c>
      <c r="W57" s="114">
        <f t="shared" si="10"/>
        <v>0</v>
      </c>
      <c r="X57" s="117"/>
    </row>
    <row r="58" spans="1:24" ht="11.25" customHeight="1" x14ac:dyDescent="0.2">
      <c r="A58" s="150"/>
    </row>
    <row r="59" spans="1:24" ht="21.75" hidden="1" customHeight="1" x14ac:dyDescent="0.25">
      <c r="B59" s="10">
        <f ca="1">TODAY()</f>
        <v>44334</v>
      </c>
      <c r="C59" s="56"/>
      <c r="D59" s="11" t="s">
        <v>6</v>
      </c>
      <c r="E59" s="11" t="s">
        <v>7</v>
      </c>
      <c r="F59" s="11" t="s">
        <v>8</v>
      </c>
      <c r="G59" s="11" t="s">
        <v>9</v>
      </c>
      <c r="H59" s="11" t="s">
        <v>10</v>
      </c>
      <c r="I59" s="11" t="s">
        <v>11</v>
      </c>
      <c r="J59" s="11" t="s">
        <v>1</v>
      </c>
      <c r="K59" s="11" t="s">
        <v>2</v>
      </c>
      <c r="L59" s="11" t="s">
        <v>3</v>
      </c>
      <c r="M59" s="11" t="s">
        <v>4</v>
      </c>
      <c r="N59" s="11" t="s">
        <v>5</v>
      </c>
      <c r="O59" s="11" t="s">
        <v>42</v>
      </c>
      <c r="P59" s="11"/>
      <c r="Q59" s="11"/>
      <c r="R59" s="11"/>
      <c r="S59" s="11"/>
      <c r="T59" s="11"/>
      <c r="U59" s="11"/>
      <c r="V59" s="11"/>
      <c r="W59" s="11"/>
      <c r="X59" s="12" t="s">
        <v>12</v>
      </c>
    </row>
    <row r="60" spans="1:24" ht="9" hidden="1" customHeight="1" x14ac:dyDescent="0.25">
      <c r="B60" s="18"/>
      <c r="C60" s="62"/>
      <c r="D60" s="6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9"/>
    </row>
    <row r="61" spans="1:24" ht="21.75" hidden="1" customHeight="1" x14ac:dyDescent="0.25">
      <c r="B61" s="20" t="s">
        <v>22</v>
      </c>
      <c r="C61" s="63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2"/>
    </row>
    <row r="62" spans="1:24" ht="21.75" hidden="1" customHeight="1" x14ac:dyDescent="0.25">
      <c r="B62" s="14" t="s">
        <v>25</v>
      </c>
      <c r="C62" s="64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1">
        <f>SUM(D62:O62)</f>
        <v>0</v>
      </c>
    </row>
    <row r="63" spans="1:24" ht="21.75" hidden="1" customHeight="1" x14ac:dyDescent="0.25">
      <c r="B63" s="14" t="s">
        <v>26</v>
      </c>
      <c r="C63" s="64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>
        <v>11000</v>
      </c>
      <c r="P63" s="225"/>
      <c r="Q63" s="225"/>
      <c r="R63" s="225"/>
      <c r="S63" s="225"/>
      <c r="T63" s="225"/>
      <c r="U63" s="225"/>
      <c r="V63" s="225"/>
      <c r="W63" s="225"/>
      <c r="X63" s="21">
        <f>SUM(D63:O63)</f>
        <v>11000</v>
      </c>
    </row>
    <row r="64" spans="1:24" ht="12.75" hidden="1" customHeight="1" x14ac:dyDescent="0.25">
      <c r="B64" s="14"/>
      <c r="C64" s="64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3" t="str">
        <f>IF(X63&gt;=X62, "CT OK","Attention")</f>
        <v>CT OK</v>
      </c>
    </row>
    <row r="65" spans="2:24" ht="21.75" hidden="1" customHeight="1" x14ac:dyDescent="0.25">
      <c r="B65" s="32" t="s">
        <v>27</v>
      </c>
      <c r="C65" s="65"/>
      <c r="D65" s="25">
        <f>D57+D62-D63</f>
        <v>0</v>
      </c>
      <c r="E65" s="25">
        <f t="shared" ref="E65:O65" si="11">D65+E55+E62-E63</f>
        <v>0</v>
      </c>
      <c r="F65" s="25">
        <f t="shared" si="11"/>
        <v>0</v>
      </c>
      <c r="G65" s="25">
        <f t="shared" si="11"/>
        <v>0</v>
      </c>
      <c r="H65" s="25">
        <f t="shared" si="11"/>
        <v>0</v>
      </c>
      <c r="I65" s="25">
        <f t="shared" si="11"/>
        <v>0</v>
      </c>
      <c r="J65" s="25">
        <f t="shared" si="11"/>
        <v>0</v>
      </c>
      <c r="K65" s="25">
        <f t="shared" si="11"/>
        <v>0</v>
      </c>
      <c r="L65" s="25">
        <f t="shared" si="11"/>
        <v>0</v>
      </c>
      <c r="M65" s="25">
        <f t="shared" si="11"/>
        <v>0</v>
      </c>
      <c r="N65" s="25">
        <f t="shared" si="11"/>
        <v>0</v>
      </c>
      <c r="O65" s="25">
        <f t="shared" si="11"/>
        <v>-11000</v>
      </c>
      <c r="P65" s="25"/>
      <c r="Q65" s="25"/>
      <c r="R65" s="25"/>
      <c r="S65" s="25"/>
      <c r="T65" s="25"/>
      <c r="U65" s="25"/>
      <c r="V65" s="25"/>
      <c r="W65" s="25"/>
      <c r="X65" s="21"/>
    </row>
    <row r="66" spans="2:24" ht="21.75" hidden="1" customHeight="1" x14ac:dyDescent="0.25">
      <c r="B66" s="24" t="s">
        <v>21</v>
      </c>
      <c r="C66" s="66"/>
      <c r="D66" s="35">
        <v>5000</v>
      </c>
      <c r="E66" s="27">
        <f>D66</f>
        <v>5000</v>
      </c>
      <c r="F66" s="27">
        <f t="shared" ref="F66:O66" si="12">E66</f>
        <v>5000</v>
      </c>
      <c r="G66" s="27">
        <f t="shared" si="12"/>
        <v>5000</v>
      </c>
      <c r="H66" s="27">
        <f t="shared" si="12"/>
        <v>5000</v>
      </c>
      <c r="I66" s="27">
        <f t="shared" si="12"/>
        <v>5000</v>
      </c>
      <c r="J66" s="27">
        <f t="shared" si="12"/>
        <v>5000</v>
      </c>
      <c r="K66" s="27">
        <f t="shared" si="12"/>
        <v>5000</v>
      </c>
      <c r="L66" s="27">
        <f t="shared" si="12"/>
        <v>5000</v>
      </c>
      <c r="M66" s="27">
        <f t="shared" si="12"/>
        <v>5000</v>
      </c>
      <c r="N66" s="27">
        <f t="shared" si="12"/>
        <v>5000</v>
      </c>
      <c r="O66" s="27">
        <f t="shared" si="12"/>
        <v>5000</v>
      </c>
      <c r="P66" s="27"/>
      <c r="Q66" s="27"/>
      <c r="R66" s="27"/>
      <c r="S66" s="27"/>
      <c r="T66" s="27"/>
      <c r="U66" s="27"/>
      <c r="V66" s="27"/>
      <c r="W66" s="27"/>
      <c r="X66" s="22"/>
    </row>
    <row r="67" spans="2:24" ht="21.75" hidden="1" customHeight="1" x14ac:dyDescent="0.25">
      <c r="B67" s="30" t="s">
        <v>28</v>
      </c>
      <c r="C67" s="67"/>
      <c r="D67" s="28">
        <f>IF(D65&gt;=0,0,IF(D65&lt;-D66,D65+D66,0))</f>
        <v>0</v>
      </c>
      <c r="E67" s="28">
        <f t="shared" ref="E67:O67" si="13">IF(E65&gt;=0,0,IF(E65&lt;-E66,E65+E66,0))</f>
        <v>0</v>
      </c>
      <c r="F67" s="28">
        <f t="shared" si="13"/>
        <v>0</v>
      </c>
      <c r="G67" s="28">
        <f t="shared" si="13"/>
        <v>0</v>
      </c>
      <c r="H67" s="28">
        <f t="shared" si="13"/>
        <v>0</v>
      </c>
      <c r="I67" s="28">
        <f t="shared" si="13"/>
        <v>0</v>
      </c>
      <c r="J67" s="28">
        <f t="shared" si="13"/>
        <v>0</v>
      </c>
      <c r="K67" s="28">
        <f t="shared" si="13"/>
        <v>0</v>
      </c>
      <c r="L67" s="28">
        <f t="shared" si="13"/>
        <v>0</v>
      </c>
      <c r="M67" s="28">
        <f t="shared" si="13"/>
        <v>0</v>
      </c>
      <c r="N67" s="28">
        <f t="shared" si="13"/>
        <v>0</v>
      </c>
      <c r="O67" s="28">
        <f t="shared" si="13"/>
        <v>-6000</v>
      </c>
      <c r="P67" s="28"/>
      <c r="Q67" s="28"/>
      <c r="R67" s="28"/>
      <c r="S67" s="28"/>
      <c r="T67" s="28"/>
      <c r="U67" s="28"/>
      <c r="V67" s="28"/>
      <c r="W67" s="28"/>
      <c r="X67" s="22"/>
    </row>
    <row r="68" spans="2:24" ht="21.75" hidden="1" customHeight="1" x14ac:dyDescent="0.25">
      <c r="B68" s="20" t="s">
        <v>23</v>
      </c>
      <c r="C68" s="63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2"/>
    </row>
    <row r="69" spans="2:24" ht="21.75" hidden="1" customHeight="1" x14ac:dyDescent="0.25">
      <c r="B69" s="26" t="s">
        <v>24</v>
      </c>
      <c r="C69" s="66"/>
      <c r="D69" s="29">
        <f>IF(D65&gt;0,D65,0)</f>
        <v>0</v>
      </c>
      <c r="E69" s="29">
        <f t="shared" ref="E69:O69" si="14">IF(E65&gt;0,E65,0)</f>
        <v>0</v>
      </c>
      <c r="F69" s="29">
        <f t="shared" si="14"/>
        <v>0</v>
      </c>
      <c r="G69" s="29">
        <f t="shared" si="14"/>
        <v>0</v>
      </c>
      <c r="H69" s="29">
        <f t="shared" si="14"/>
        <v>0</v>
      </c>
      <c r="I69" s="29">
        <f t="shared" si="14"/>
        <v>0</v>
      </c>
      <c r="J69" s="29">
        <f t="shared" si="14"/>
        <v>0</v>
      </c>
      <c r="K69" s="29">
        <f t="shared" si="14"/>
        <v>0</v>
      </c>
      <c r="L69" s="29">
        <f t="shared" si="14"/>
        <v>0</v>
      </c>
      <c r="M69" s="29">
        <f t="shared" si="14"/>
        <v>0</v>
      </c>
      <c r="N69" s="29">
        <f t="shared" si="14"/>
        <v>0</v>
      </c>
      <c r="O69" s="29">
        <f t="shared" si="14"/>
        <v>0</v>
      </c>
      <c r="P69" s="29"/>
      <c r="Q69" s="29"/>
      <c r="R69" s="29"/>
      <c r="S69" s="29"/>
      <c r="T69" s="29"/>
      <c r="U69" s="29"/>
      <c r="V69" s="29"/>
      <c r="W69" s="29"/>
      <c r="X69" s="21"/>
    </row>
    <row r="70" spans="2:24" ht="17.25" hidden="1" customHeight="1" x14ac:dyDescent="0.2">
      <c r="B70" s="19"/>
      <c r="C70" s="19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2"/>
    </row>
    <row r="72" spans="2:24" x14ac:dyDescent="0.2">
      <c r="B72" s="227"/>
      <c r="C72" s="22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227"/>
    </row>
    <row r="73" spans="2:24" x14ac:dyDescent="0.2">
      <c r="B73" s="227"/>
      <c r="C73" s="22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227"/>
    </row>
    <row r="74" spans="2:24" x14ac:dyDescent="0.2">
      <c r="B74" s="227"/>
      <c r="C74" s="22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238"/>
      <c r="X74" s="227"/>
    </row>
    <row r="75" spans="2:24" x14ac:dyDescent="0.2">
      <c r="B75" s="227"/>
      <c r="C75" s="22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227"/>
    </row>
    <row r="76" spans="2:24" x14ac:dyDescent="0.2">
      <c r="B76" s="227"/>
      <c r="C76" s="22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227"/>
    </row>
    <row r="77" spans="2:24" x14ac:dyDescent="0.2">
      <c r="B77" s="227"/>
      <c r="C77" s="22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227"/>
    </row>
    <row r="78" spans="2:24" x14ac:dyDescent="0.2">
      <c r="B78" s="227"/>
      <c r="C78" s="22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227"/>
    </row>
    <row r="79" spans="2:24" x14ac:dyDescent="0.2">
      <c r="B79" s="227"/>
      <c r="C79" s="22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227"/>
    </row>
    <row r="80" spans="2:24" x14ac:dyDescent="0.2">
      <c r="B80" s="227"/>
      <c r="C80" s="22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227"/>
    </row>
    <row r="81" spans="2:24" x14ac:dyDescent="0.2">
      <c r="B81" s="227"/>
      <c r="C81" s="22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227"/>
    </row>
    <row r="82" spans="2:24" x14ac:dyDescent="0.2">
      <c r="B82" s="227"/>
      <c r="C82" s="22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227"/>
    </row>
    <row r="83" spans="2:24" x14ac:dyDescent="0.2">
      <c r="B83" s="227"/>
      <c r="C83" s="22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227"/>
    </row>
    <row r="84" spans="2:24" x14ac:dyDescent="0.2">
      <c r="B84" s="227"/>
      <c r="C84" s="22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227"/>
    </row>
    <row r="85" spans="2:24" x14ac:dyDescent="0.2">
      <c r="B85" s="227"/>
      <c r="C85" s="22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227"/>
    </row>
    <row r="86" spans="2:24" x14ac:dyDescent="0.2">
      <c r="B86" s="227"/>
      <c r="C86" s="22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227"/>
    </row>
    <row r="87" spans="2:24" x14ac:dyDescent="0.2">
      <c r="B87" s="227"/>
      <c r="C87" s="22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227"/>
    </row>
    <row r="88" spans="2:24" x14ac:dyDescent="0.2">
      <c r="B88" s="227"/>
      <c r="C88" s="22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227"/>
    </row>
    <row r="89" spans="2:24" x14ac:dyDescent="0.2">
      <c r="B89" s="227"/>
      <c r="C89" s="22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227"/>
    </row>
    <row r="90" spans="2:24" x14ac:dyDescent="0.2">
      <c r="B90" s="227"/>
      <c r="C90" s="22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227"/>
    </row>
    <row r="91" spans="2:24" x14ac:dyDescent="0.2">
      <c r="B91" s="227"/>
      <c r="C91" s="22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227"/>
    </row>
    <row r="92" spans="2:24" x14ac:dyDescent="0.2">
      <c r="B92" s="227"/>
      <c r="C92" s="22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227"/>
    </row>
    <row r="93" spans="2:24" x14ac:dyDescent="0.2">
      <c r="B93" s="227"/>
      <c r="C93" s="22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227"/>
    </row>
    <row r="94" spans="2:24" x14ac:dyDescent="0.2">
      <c r="B94" s="227"/>
      <c r="C94" s="22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227"/>
    </row>
    <row r="95" spans="2:24" x14ac:dyDescent="0.2">
      <c r="B95" s="227"/>
      <c r="C95" s="22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227"/>
    </row>
    <row r="96" spans="2:24" x14ac:dyDescent="0.2">
      <c r="B96" s="227"/>
      <c r="C96" s="22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227"/>
    </row>
    <row r="97" spans="2:24" x14ac:dyDescent="0.2">
      <c r="B97" s="227"/>
      <c r="C97" s="22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227"/>
    </row>
    <row r="98" spans="2:24" x14ac:dyDescent="0.2">
      <c r="B98" s="227"/>
      <c r="C98" s="22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227"/>
    </row>
    <row r="99" spans="2:24" x14ac:dyDescent="0.2">
      <c r="B99" s="227"/>
      <c r="C99" s="22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227"/>
    </row>
    <row r="100" spans="2:24" x14ac:dyDescent="0.2">
      <c r="B100" s="227"/>
      <c r="C100" s="22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227"/>
    </row>
    <row r="101" spans="2:24" x14ac:dyDescent="0.2">
      <c r="B101" s="227"/>
      <c r="C101" s="22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227"/>
    </row>
    <row r="102" spans="2:24" x14ac:dyDescent="0.2">
      <c r="B102" s="227"/>
      <c r="C102" s="22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227"/>
    </row>
    <row r="103" spans="2:24" x14ac:dyDescent="0.2">
      <c r="B103" s="227"/>
      <c r="C103" s="22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227"/>
    </row>
    <row r="104" spans="2:24" x14ac:dyDescent="0.2">
      <c r="B104" s="227"/>
      <c r="C104" s="22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227"/>
    </row>
  </sheetData>
  <sheetProtection password="A22E" sheet="1" objects="1" scenarios="1" formatCells="0" formatColumns="0"/>
  <mergeCells count="4">
    <mergeCell ref="M3:N3"/>
    <mergeCell ref="A25:A54"/>
    <mergeCell ref="A8:A22"/>
    <mergeCell ref="L1:M1"/>
  </mergeCells>
  <phoneticPr fontId="13" type="noConversion"/>
  <conditionalFormatting sqref="E53:W53">
    <cfRule type="cellIs" dxfId="2" priority="6" stopIfTrue="1" operator="equal">
      <formula>0</formula>
    </cfRule>
  </conditionalFormatting>
  <conditionalFormatting sqref="O3 Q3">
    <cfRule type="expression" dxfId="0" priority="10">
      <formula>#REF!="TVA RSA - solde exerce comptable  (acompte)"</formula>
    </cfRule>
  </conditionalFormatting>
  <pageMargins left="0.78740157499999996" right="0.78740157499999996" top="0.984251969" bottom="0.984251969" header="0.4921259845" footer="0.4921259845"/>
  <pageSetup paperSize="9" scale="49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'type TVA'!$A$2:$A$6</xm:f>
          </x14:formula1>
          <xm:sqref>L1:M1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31"/>
  <sheetViews>
    <sheetView showGridLines="0" zoomScale="80" zoomScaleNormal="8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E14" sqref="E14"/>
    </sheetView>
  </sheetViews>
  <sheetFormatPr baseColWidth="10" defaultRowHeight="12.75" x14ac:dyDescent="0.2"/>
  <cols>
    <col min="1" max="1" width="3.7109375" style="1" customWidth="1"/>
    <col min="2" max="2" width="51.140625" style="1" customWidth="1"/>
    <col min="3" max="3" width="5.42578125" style="45" customWidth="1"/>
    <col min="4" max="23" width="16.7109375" style="5" customWidth="1"/>
    <col min="24" max="24" width="16.7109375" style="1" customWidth="1"/>
    <col min="25" max="16384" width="11.42578125" style="1"/>
  </cols>
  <sheetData>
    <row r="1" spans="1:24" ht="17.25" customHeight="1" x14ac:dyDescent="0.25">
      <c r="D1" s="38" t="s">
        <v>64</v>
      </c>
      <c r="G1" s="13" t="s">
        <v>0</v>
      </c>
      <c r="I1" s="8"/>
      <c r="J1" s="8"/>
      <c r="K1" s="136" t="str">
        <f>'Tréso HT'!K1</f>
        <v>type de déclaration TVA :</v>
      </c>
      <c r="L1" s="138" t="str">
        <f>'Tréso HT'!L1:M1</f>
        <v>TVA RSA - solde en mai  (acompte)</v>
      </c>
      <c r="M1" s="139"/>
      <c r="N1" s="140"/>
      <c r="O1" s="134"/>
      <c r="P1" s="134"/>
      <c r="Q1" s="134"/>
      <c r="R1" s="4"/>
      <c r="S1" s="4"/>
      <c r="T1" s="4"/>
      <c r="U1" s="4"/>
      <c r="V1" s="4"/>
      <c r="W1" s="4"/>
      <c r="X1" s="2"/>
    </row>
    <row r="2" spans="1:24" ht="17.25" customHeight="1" x14ac:dyDescent="0.2">
      <c r="B2" s="34"/>
      <c r="C2" s="46"/>
      <c r="D2" s="219"/>
      <c r="E2" s="219"/>
      <c r="F2" s="219"/>
      <c r="G2" s="219"/>
      <c r="H2" s="220"/>
      <c r="I2" s="220"/>
      <c r="J2" s="220"/>
      <c r="K2" s="136" t="str">
        <f>'Tréso HT'!K2</f>
        <v>Montant de la TVA dû sur N-1</v>
      </c>
      <c r="L2" s="137">
        <f>'Tréso HT'!L2</f>
        <v>0</v>
      </c>
      <c r="M2" s="134"/>
      <c r="N2" s="134"/>
      <c r="O2" s="134"/>
      <c r="P2" s="134"/>
      <c r="Q2" s="218">
        <f>MONTH(Q3)</f>
        <v>1</v>
      </c>
      <c r="R2" s="220"/>
      <c r="S2" s="220"/>
      <c r="T2" s="220"/>
      <c r="U2" s="220"/>
      <c r="V2" s="220"/>
      <c r="W2" s="220"/>
    </row>
    <row r="3" spans="1:24" ht="17.25" customHeight="1" x14ac:dyDescent="0.25">
      <c r="B3" s="3" t="s">
        <v>45</v>
      </c>
      <c r="C3" s="47"/>
      <c r="D3" s="221">
        <f>'Tréso HT'!D3</f>
        <v>44317</v>
      </c>
      <c r="K3" s="136" t="str">
        <f>'Tréso HT'!K3</f>
        <v>Montant de la TVA sur l'année N avant le plan de trésorerie</v>
      </c>
      <c r="L3" s="137">
        <f>'Tréso HT'!L3</f>
        <v>0</v>
      </c>
      <c r="M3" s="259" t="str">
        <f>'Tréso HT'!M3</f>
        <v>date exercie comptable du</v>
      </c>
      <c r="N3" s="259"/>
      <c r="O3" s="135">
        <f>'Tréso HT'!O3</f>
        <v>0</v>
      </c>
      <c r="P3" s="134" t="str">
        <f>'Tréso HT'!P3</f>
        <v>au</v>
      </c>
      <c r="Q3" s="135">
        <f>'Tréso HT'!Q3</f>
        <v>0</v>
      </c>
    </row>
    <row r="4" spans="1:24" ht="17.25" customHeight="1" x14ac:dyDescent="0.25">
      <c r="B4" s="94"/>
      <c r="C4" s="120" t="s">
        <v>59</v>
      </c>
      <c r="D4" s="121" t="str">
        <f>TEXT(D3,"mmmm aa")</f>
        <v>mai 21</v>
      </c>
      <c r="E4" s="121">
        <f>EDATE(D4,1)</f>
        <v>44348</v>
      </c>
      <c r="F4" s="121">
        <f t="shared" ref="F4:W4" si="0">EDATE(E4,1)</f>
        <v>44378</v>
      </c>
      <c r="G4" s="121">
        <f t="shared" si="0"/>
        <v>44409</v>
      </c>
      <c r="H4" s="121">
        <f t="shared" si="0"/>
        <v>44440</v>
      </c>
      <c r="I4" s="121">
        <f t="shared" si="0"/>
        <v>44470</v>
      </c>
      <c r="J4" s="121">
        <f t="shared" si="0"/>
        <v>44501</v>
      </c>
      <c r="K4" s="121">
        <f t="shared" si="0"/>
        <v>44531</v>
      </c>
      <c r="L4" s="121">
        <f t="shared" si="0"/>
        <v>44562</v>
      </c>
      <c r="M4" s="121">
        <f t="shared" si="0"/>
        <v>44593</v>
      </c>
      <c r="N4" s="121">
        <f t="shared" si="0"/>
        <v>44621</v>
      </c>
      <c r="O4" s="121">
        <f t="shared" si="0"/>
        <v>44652</v>
      </c>
      <c r="P4" s="121">
        <f t="shared" si="0"/>
        <v>44682</v>
      </c>
      <c r="Q4" s="121">
        <f t="shared" si="0"/>
        <v>44713</v>
      </c>
      <c r="R4" s="121">
        <f t="shared" si="0"/>
        <v>44743</v>
      </c>
      <c r="S4" s="121">
        <f t="shared" si="0"/>
        <v>44774</v>
      </c>
      <c r="T4" s="121">
        <f t="shared" si="0"/>
        <v>44805</v>
      </c>
      <c r="U4" s="121">
        <f t="shared" si="0"/>
        <v>44835</v>
      </c>
      <c r="V4" s="121">
        <f t="shared" si="0"/>
        <v>44866</v>
      </c>
      <c r="W4" s="121">
        <f t="shared" si="0"/>
        <v>44896</v>
      </c>
      <c r="X4" s="122" t="s">
        <v>12</v>
      </c>
    </row>
    <row r="5" spans="1:24" ht="17.25" hidden="1" customHeight="1" x14ac:dyDescent="0.25">
      <c r="B5" s="10"/>
      <c r="C5" s="48"/>
      <c r="D5" s="41">
        <f>MONTH(D4)</f>
        <v>5</v>
      </c>
      <c r="E5" s="41">
        <f t="shared" ref="E5:W5" si="1">MONTH(E4)</f>
        <v>6</v>
      </c>
      <c r="F5" s="41">
        <f t="shared" si="1"/>
        <v>7</v>
      </c>
      <c r="G5" s="41">
        <f t="shared" si="1"/>
        <v>8</v>
      </c>
      <c r="H5" s="41">
        <f t="shared" si="1"/>
        <v>9</v>
      </c>
      <c r="I5" s="41">
        <f t="shared" si="1"/>
        <v>10</v>
      </c>
      <c r="J5" s="41">
        <f t="shared" si="1"/>
        <v>11</v>
      </c>
      <c r="K5" s="41">
        <f t="shared" si="1"/>
        <v>12</v>
      </c>
      <c r="L5" s="41">
        <f t="shared" si="1"/>
        <v>1</v>
      </c>
      <c r="M5" s="41">
        <f t="shared" si="1"/>
        <v>2</v>
      </c>
      <c r="N5" s="41">
        <f t="shared" si="1"/>
        <v>3</v>
      </c>
      <c r="O5" s="41">
        <f t="shared" si="1"/>
        <v>4</v>
      </c>
      <c r="P5" s="41">
        <f t="shared" si="1"/>
        <v>5</v>
      </c>
      <c r="Q5" s="41">
        <f t="shared" si="1"/>
        <v>6</v>
      </c>
      <c r="R5" s="41">
        <f t="shared" si="1"/>
        <v>7</v>
      </c>
      <c r="S5" s="41">
        <f t="shared" si="1"/>
        <v>8</v>
      </c>
      <c r="T5" s="41">
        <f t="shared" si="1"/>
        <v>9</v>
      </c>
      <c r="U5" s="41">
        <f t="shared" si="1"/>
        <v>10</v>
      </c>
      <c r="V5" s="41">
        <f t="shared" si="1"/>
        <v>11</v>
      </c>
      <c r="W5" s="41">
        <f t="shared" si="1"/>
        <v>12</v>
      </c>
      <c r="X5" s="39"/>
    </row>
    <row r="6" spans="1:24" ht="17.25" hidden="1" customHeight="1" x14ac:dyDescent="0.25">
      <c r="B6" s="10"/>
      <c r="C6" s="48"/>
      <c r="D6" s="40">
        <f>YEAR(D4)</f>
        <v>2021</v>
      </c>
      <c r="E6" s="40">
        <f>YEAR(E4)</f>
        <v>2021</v>
      </c>
      <c r="F6" s="40">
        <f>YEAR(F4)</f>
        <v>2021</v>
      </c>
      <c r="G6" s="40">
        <f>YEAR(G4)</f>
        <v>2021</v>
      </c>
      <c r="H6" s="40">
        <f>YEAR(H4)</f>
        <v>2021</v>
      </c>
      <c r="I6" s="40">
        <f t="shared" ref="I6:W6" si="2">YEAR(I4)</f>
        <v>2021</v>
      </c>
      <c r="J6" s="40">
        <f t="shared" si="2"/>
        <v>2021</v>
      </c>
      <c r="K6" s="40">
        <f t="shared" si="2"/>
        <v>2021</v>
      </c>
      <c r="L6" s="40">
        <f t="shared" si="2"/>
        <v>2022</v>
      </c>
      <c r="M6" s="40">
        <f t="shared" si="2"/>
        <v>2022</v>
      </c>
      <c r="N6" s="40">
        <f t="shared" si="2"/>
        <v>2022</v>
      </c>
      <c r="O6" s="40">
        <f t="shared" si="2"/>
        <v>2022</v>
      </c>
      <c r="P6" s="40">
        <f t="shared" si="2"/>
        <v>2022</v>
      </c>
      <c r="Q6" s="40">
        <f t="shared" si="2"/>
        <v>2022</v>
      </c>
      <c r="R6" s="40">
        <f t="shared" si="2"/>
        <v>2022</v>
      </c>
      <c r="S6" s="40">
        <f t="shared" si="2"/>
        <v>2022</v>
      </c>
      <c r="T6" s="40">
        <f t="shared" si="2"/>
        <v>2022</v>
      </c>
      <c r="U6" s="40">
        <f t="shared" si="2"/>
        <v>2022</v>
      </c>
      <c r="V6" s="40">
        <f t="shared" si="2"/>
        <v>2022</v>
      </c>
      <c r="W6" s="40">
        <f t="shared" si="2"/>
        <v>2022</v>
      </c>
      <c r="X6" s="39"/>
    </row>
    <row r="7" spans="1:24" ht="17.25" customHeight="1" x14ac:dyDescent="0.25">
      <c r="B7" s="158" t="s">
        <v>13</v>
      </c>
      <c r="C7" s="49"/>
      <c r="D7" s="222">
        <f>'Tréso HT'!D6</f>
        <v>0</v>
      </c>
      <c r="E7" s="223">
        <f>D64</f>
        <v>0</v>
      </c>
      <c r="F7" s="223">
        <f t="shared" ref="F7:W7" si="3">E64</f>
        <v>0</v>
      </c>
      <c r="G7" s="223">
        <f t="shared" si="3"/>
        <v>0</v>
      </c>
      <c r="H7" s="223">
        <f t="shared" si="3"/>
        <v>0</v>
      </c>
      <c r="I7" s="223">
        <f t="shared" si="3"/>
        <v>0</v>
      </c>
      <c r="J7" s="223">
        <f t="shared" si="3"/>
        <v>0</v>
      </c>
      <c r="K7" s="223">
        <f t="shared" si="3"/>
        <v>0</v>
      </c>
      <c r="L7" s="223">
        <f t="shared" si="3"/>
        <v>0</v>
      </c>
      <c r="M7" s="223">
        <f t="shared" si="3"/>
        <v>0</v>
      </c>
      <c r="N7" s="223">
        <f t="shared" si="3"/>
        <v>0</v>
      </c>
      <c r="O7" s="223">
        <f t="shared" si="3"/>
        <v>0</v>
      </c>
      <c r="P7" s="223">
        <f t="shared" si="3"/>
        <v>0</v>
      </c>
      <c r="Q7" s="223">
        <f t="shared" ca="1" si="3"/>
        <v>0</v>
      </c>
      <c r="R7" s="223">
        <f t="shared" ca="1" si="3"/>
        <v>0</v>
      </c>
      <c r="S7" s="223">
        <f t="shared" ca="1" si="3"/>
        <v>0</v>
      </c>
      <c r="T7" s="223">
        <f t="shared" ca="1" si="3"/>
        <v>0</v>
      </c>
      <c r="U7" s="223">
        <f t="shared" ca="1" si="3"/>
        <v>0</v>
      </c>
      <c r="V7" s="223">
        <f t="shared" ca="1" si="3"/>
        <v>0</v>
      </c>
      <c r="W7" s="223">
        <f t="shared" ca="1" si="3"/>
        <v>0</v>
      </c>
      <c r="X7" s="169"/>
    </row>
    <row r="8" spans="1:24" ht="17.25" customHeight="1" x14ac:dyDescent="0.25">
      <c r="A8" s="197"/>
      <c r="B8" s="142" t="s">
        <v>14</v>
      </c>
      <c r="C8" s="50"/>
      <c r="D8" s="180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169"/>
    </row>
    <row r="9" spans="1:24" ht="17.25" customHeight="1" x14ac:dyDescent="0.25">
      <c r="A9" s="256" t="s">
        <v>14</v>
      </c>
      <c r="B9" s="143" t="str">
        <f>IF('Tréso HT'!B8&lt;&gt;"",'Tréso HT'!B8,"")</f>
        <v>Raisin</v>
      </c>
      <c r="C9" s="51">
        <f>IF('Tréso HT'!C8&lt;&gt;"",IF('Tréso HT'!C8=20,1.2,IF('Tréso HT'!C8=10,1.1,IF('Tréso HT'!C8=5.5,1.055,1))),1)</f>
        <v>1.1000000000000001</v>
      </c>
      <c r="D9" s="21" t="str">
        <f>IF('Tréso HT'!D8&lt;&gt;0,'Tréso HT'!D8*$C9,"")</f>
        <v/>
      </c>
      <c r="E9" s="21" t="str">
        <f>IF('Tréso HT'!E8&lt;&gt;0,'Tréso HT'!E8*$C9,"")</f>
        <v/>
      </c>
      <c r="F9" s="21" t="str">
        <f>IF('Tréso HT'!F8&lt;&gt;0,'Tréso HT'!F8*$C9,"")</f>
        <v/>
      </c>
      <c r="G9" s="21" t="str">
        <f>IF('Tréso HT'!G8&lt;&gt;0,'Tréso HT'!G8*$C9,"")</f>
        <v/>
      </c>
      <c r="H9" s="21" t="str">
        <f>IF('Tréso HT'!H8&lt;&gt;0,'Tréso HT'!H8*$C9,"")</f>
        <v/>
      </c>
      <c r="I9" s="21" t="str">
        <f>IF('Tréso HT'!I8&lt;&gt;0,'Tréso HT'!I8*$C9,"")</f>
        <v/>
      </c>
      <c r="J9" s="21" t="str">
        <f>IF('Tréso HT'!J8&lt;&gt;0,'Tréso HT'!J8*$C9,"")</f>
        <v/>
      </c>
      <c r="K9" s="21" t="str">
        <f>IF('Tréso HT'!K8&lt;&gt;0,'Tréso HT'!K8*$C9,"")</f>
        <v/>
      </c>
      <c r="L9" s="21" t="str">
        <f>IF('Tréso HT'!L8&lt;&gt;0,'Tréso HT'!L8*$C9,"")</f>
        <v/>
      </c>
      <c r="M9" s="21" t="str">
        <f>IF('Tréso HT'!M8&lt;&gt;0,'Tréso HT'!M8*$C9,"")</f>
        <v/>
      </c>
      <c r="N9" s="21" t="str">
        <f>IF('Tréso HT'!N8&lt;&gt;0,'Tréso HT'!N8*$C9,"")</f>
        <v/>
      </c>
      <c r="O9" s="21" t="str">
        <f>IF('Tréso HT'!O8&lt;&gt;0,'Tréso HT'!O8*$C9,"")</f>
        <v/>
      </c>
      <c r="P9" s="21" t="str">
        <f>IF('Tréso HT'!P8&lt;&gt;0,'Tréso HT'!P8*$C9,"")</f>
        <v/>
      </c>
      <c r="Q9" s="21" t="str">
        <f>IF('Tréso HT'!Q8&lt;&gt;0,'Tréso HT'!Q8*$C9,"")</f>
        <v/>
      </c>
      <c r="R9" s="21" t="str">
        <f>IF('Tréso HT'!R8&lt;&gt;0,'Tréso HT'!R8*$C9,"")</f>
        <v/>
      </c>
      <c r="S9" s="21" t="str">
        <f>IF('Tréso HT'!S8&lt;&gt;0,'Tréso HT'!S8*$C9,"")</f>
        <v/>
      </c>
      <c r="T9" s="21" t="str">
        <f>IF('Tréso HT'!T8&lt;&gt;0,'Tréso HT'!T8*$C9,"")</f>
        <v/>
      </c>
      <c r="U9" s="21" t="str">
        <f>IF('Tréso HT'!U8&lt;&gt;0,'Tréso HT'!U8*$C9,"")</f>
        <v/>
      </c>
      <c r="V9" s="21" t="str">
        <f>IF('Tréso HT'!V8&lt;&gt;0,'Tréso HT'!V8*$C9,"")</f>
        <v/>
      </c>
      <c r="W9" s="21" t="str">
        <f>IF('Tréso HT'!W8&lt;&gt;0,'Tréso HT'!W8*$C9,"")</f>
        <v/>
      </c>
      <c r="X9" s="21">
        <f t="shared" ref="X9:X19" si="4">SUM(D9:W9)</f>
        <v>0</v>
      </c>
    </row>
    <row r="10" spans="1:24" ht="17.25" customHeight="1" x14ac:dyDescent="0.25">
      <c r="A10" s="257"/>
      <c r="B10" s="143" t="str">
        <f>IF('Tréso HT'!B9&lt;&gt;"",'Tréso HT'!B9,"")</f>
        <v>Mout</v>
      </c>
      <c r="C10" s="51">
        <f>IF('Tréso HT'!C9&lt;&gt;"",IF('Tréso HT'!C9=20,1.2,IF('Tréso HT'!C9=10,1.1,IF('Tréso HT'!C9=5.5,1.055,1))),1)</f>
        <v>1.2</v>
      </c>
      <c r="D10" s="21" t="str">
        <f>IF('Tréso HT'!D9&lt;&gt;0,'Tréso HT'!D9*$C10,"")</f>
        <v/>
      </c>
      <c r="E10" s="21" t="str">
        <f>IF('Tréso HT'!E9&lt;&gt;0,'Tréso HT'!E9*$C10,"")</f>
        <v/>
      </c>
      <c r="F10" s="21" t="str">
        <f>IF('Tréso HT'!F9&lt;&gt;0,'Tréso HT'!F9*$C10,"")</f>
        <v/>
      </c>
      <c r="G10" s="21" t="str">
        <f>IF('Tréso HT'!G9&lt;&gt;0,'Tréso HT'!G9*$C10,"")</f>
        <v/>
      </c>
      <c r="H10" s="21" t="str">
        <f>IF('Tréso HT'!H9&lt;&gt;0,'Tréso HT'!H9*$C10,"")</f>
        <v/>
      </c>
      <c r="I10" s="21" t="str">
        <f>IF('Tréso HT'!I9&lt;&gt;0,'Tréso HT'!I9*$C10,"")</f>
        <v/>
      </c>
      <c r="J10" s="21" t="str">
        <f>IF('Tréso HT'!J9&lt;&gt;0,'Tréso HT'!J9*$C10,"")</f>
        <v/>
      </c>
      <c r="K10" s="21" t="str">
        <f>IF('Tréso HT'!K9&lt;&gt;0,'Tréso HT'!K9*$C10,"")</f>
        <v/>
      </c>
      <c r="L10" s="21" t="str">
        <f>IF('Tréso HT'!L9&lt;&gt;0,'Tréso HT'!L9*$C10,"")</f>
        <v/>
      </c>
      <c r="M10" s="21" t="str">
        <f>IF('Tréso HT'!M9&lt;&gt;0,'Tréso HT'!M9*$C10,"")</f>
        <v/>
      </c>
      <c r="N10" s="21" t="str">
        <f>IF('Tréso HT'!N9&lt;&gt;0,'Tréso HT'!N9*$C10,"")</f>
        <v/>
      </c>
      <c r="O10" s="21" t="str">
        <f>IF('Tréso HT'!O9&lt;&gt;0,'Tréso HT'!O9*$C10,"")</f>
        <v/>
      </c>
      <c r="P10" s="21" t="str">
        <f>IF('Tréso HT'!P9&lt;&gt;0,'Tréso HT'!P9*$C10,"")</f>
        <v/>
      </c>
      <c r="Q10" s="21" t="str">
        <f>IF('Tréso HT'!Q9&lt;&gt;0,'Tréso HT'!Q9*$C10,"")</f>
        <v/>
      </c>
      <c r="R10" s="21" t="str">
        <f>IF('Tréso HT'!R9&lt;&gt;0,'Tréso HT'!R9*$C10,"")</f>
        <v/>
      </c>
      <c r="S10" s="21" t="str">
        <f>IF('Tréso HT'!S9&lt;&gt;0,'Tréso HT'!S9*$C10,"")</f>
        <v/>
      </c>
      <c r="T10" s="21" t="str">
        <f>IF('Tréso HT'!T9&lt;&gt;0,'Tréso HT'!T9*$C10,"")</f>
        <v/>
      </c>
      <c r="U10" s="21" t="str">
        <f>IF('Tréso HT'!U9&lt;&gt;0,'Tréso HT'!U9*$C10,"")</f>
        <v/>
      </c>
      <c r="V10" s="21" t="str">
        <f>IF('Tréso HT'!V9&lt;&gt;0,'Tréso HT'!V9*$C10,"")</f>
        <v/>
      </c>
      <c r="W10" s="21" t="str">
        <f>IF('Tréso HT'!W9&lt;&gt;0,'Tréso HT'!W9*$C10,"")</f>
        <v/>
      </c>
      <c r="X10" s="21">
        <f t="shared" si="4"/>
        <v>0</v>
      </c>
    </row>
    <row r="11" spans="1:24" ht="17.25" customHeight="1" x14ac:dyDescent="0.25">
      <c r="A11" s="257"/>
      <c r="B11" s="143" t="str">
        <f>IF('Tréso HT'!B10&lt;&gt;"",'Tréso HT'!B10,"")</f>
        <v xml:space="preserve">Vin negoce </v>
      </c>
      <c r="C11" s="51">
        <f>IF('Tréso HT'!C10&lt;&gt;"",IF('Tréso HT'!C10=20,1.2,IF('Tréso HT'!C10=10,1.1,IF('Tréso HT'!C10=5.5,1.055,1))),1)</f>
        <v>1.2</v>
      </c>
      <c r="D11" s="21" t="str">
        <f>IF('Tréso HT'!D10&lt;&gt;0,'Tréso HT'!D10*$C11,"")</f>
        <v/>
      </c>
      <c r="E11" s="21" t="str">
        <f>IF('Tréso HT'!E10&lt;&gt;0,'Tréso HT'!E10*$C11,"")</f>
        <v/>
      </c>
      <c r="F11" s="21" t="str">
        <f>IF('Tréso HT'!F10&lt;&gt;0,'Tréso HT'!F10*$C11,"")</f>
        <v/>
      </c>
      <c r="G11" s="21" t="str">
        <f>IF('Tréso HT'!G10&lt;&gt;0,'Tréso HT'!G10*$C11,"")</f>
        <v/>
      </c>
      <c r="H11" s="21" t="str">
        <f>IF('Tréso HT'!H10&lt;&gt;0,'Tréso HT'!H10*$C11,"")</f>
        <v/>
      </c>
      <c r="I11" s="21" t="str">
        <f>IF('Tréso HT'!I10&lt;&gt;0,'Tréso HT'!I10*$C11,"")</f>
        <v/>
      </c>
      <c r="J11" s="21" t="str">
        <f>IF('Tréso HT'!J10&lt;&gt;0,'Tréso HT'!J10*$C11,"")</f>
        <v/>
      </c>
      <c r="K11" s="21" t="str">
        <f>IF('Tréso HT'!K10&lt;&gt;0,'Tréso HT'!K10*$C11,"")</f>
        <v/>
      </c>
      <c r="L11" s="21" t="str">
        <f>IF('Tréso HT'!L10&lt;&gt;0,'Tréso HT'!L10*$C11,"")</f>
        <v/>
      </c>
      <c r="M11" s="21" t="str">
        <f>IF('Tréso HT'!M10&lt;&gt;0,'Tréso HT'!M10*$C11,"")</f>
        <v/>
      </c>
      <c r="N11" s="21" t="str">
        <f>IF('Tréso HT'!N10&lt;&gt;0,'Tréso HT'!N10*$C11,"")</f>
        <v/>
      </c>
      <c r="O11" s="21" t="str">
        <f>IF('Tréso HT'!O10&lt;&gt;0,'Tréso HT'!O10*$C11,"")</f>
        <v/>
      </c>
      <c r="P11" s="21" t="str">
        <f>IF('Tréso HT'!P10&lt;&gt;0,'Tréso HT'!P10*$C11,"")</f>
        <v/>
      </c>
      <c r="Q11" s="21" t="str">
        <f>IF('Tréso HT'!Q10&lt;&gt;0,'Tréso HT'!Q10*$C11,"")</f>
        <v/>
      </c>
      <c r="R11" s="21" t="str">
        <f>IF('Tréso HT'!R10&lt;&gt;0,'Tréso HT'!R10*$C11,"")</f>
        <v/>
      </c>
      <c r="S11" s="21" t="str">
        <f>IF('Tréso HT'!S10&lt;&gt;0,'Tréso HT'!S10*$C11,"")</f>
        <v/>
      </c>
      <c r="T11" s="21" t="str">
        <f>IF('Tréso HT'!T10&lt;&gt;0,'Tréso HT'!T10*$C11,"")</f>
        <v/>
      </c>
      <c r="U11" s="21" t="str">
        <f>IF('Tréso HT'!U10&lt;&gt;0,'Tréso HT'!U10*$C11,"")</f>
        <v/>
      </c>
      <c r="V11" s="21" t="str">
        <f>IF('Tréso HT'!V10&lt;&gt;0,'Tréso HT'!V10*$C11,"")</f>
        <v/>
      </c>
      <c r="W11" s="21" t="str">
        <f>IF('Tréso HT'!W10&lt;&gt;0,'Tréso HT'!W10*$C11,"")</f>
        <v/>
      </c>
      <c r="X11" s="21">
        <f t="shared" si="4"/>
        <v>0</v>
      </c>
    </row>
    <row r="12" spans="1:24" ht="17.25" customHeight="1" x14ac:dyDescent="0.25">
      <c r="A12" s="257"/>
      <c r="B12" s="143" t="str">
        <f>IF('Tréso HT'!B11&lt;&gt;"",'Tréso HT'!B11,"")</f>
        <v>Vins détails + marge achat vente</v>
      </c>
      <c r="C12" s="51">
        <f>IF('Tréso HT'!C11&lt;&gt;"",IF('Tréso HT'!C11=20,1.2,IF('Tréso HT'!C11=10,1.1,IF('Tréso HT'!C11=5.5,1.055,1))),1)</f>
        <v>1.2</v>
      </c>
      <c r="D12" s="21" t="str">
        <f>IF('Tréso HT'!D11&lt;&gt;0,'Tréso HT'!D11*$C12,"")</f>
        <v/>
      </c>
      <c r="E12" s="21" t="str">
        <f>IF('Tréso HT'!E11&lt;&gt;0,'Tréso HT'!E11*$C12,"")</f>
        <v/>
      </c>
      <c r="F12" s="21" t="str">
        <f>IF('Tréso HT'!F11&lt;&gt;0,'Tréso HT'!F11*$C12,"")</f>
        <v/>
      </c>
      <c r="G12" s="21" t="str">
        <f>IF('Tréso HT'!G11&lt;&gt;0,'Tréso HT'!G11*$C12,"")</f>
        <v/>
      </c>
      <c r="H12" s="21" t="str">
        <f>IF('Tréso HT'!H11&lt;&gt;0,'Tréso HT'!H11*$C12,"")</f>
        <v/>
      </c>
      <c r="I12" s="21" t="str">
        <f>IF('Tréso HT'!I11&lt;&gt;0,'Tréso HT'!I11*$C12,"")</f>
        <v/>
      </c>
      <c r="J12" s="21" t="str">
        <f>IF('Tréso HT'!J11&lt;&gt;0,'Tréso HT'!J11*$C12,"")</f>
        <v/>
      </c>
      <c r="K12" s="21" t="str">
        <f>IF('Tréso HT'!K11&lt;&gt;0,'Tréso HT'!K11*$C12,"")</f>
        <v/>
      </c>
      <c r="L12" s="21" t="str">
        <f>IF('Tréso HT'!L11&lt;&gt;0,'Tréso HT'!L11*$C12,"")</f>
        <v/>
      </c>
      <c r="M12" s="21" t="str">
        <f>IF('Tréso HT'!M11&lt;&gt;0,'Tréso HT'!M11*$C12,"")</f>
        <v/>
      </c>
      <c r="N12" s="21" t="str">
        <f>IF('Tréso HT'!N11&lt;&gt;0,'Tréso HT'!N11*$C12,"")</f>
        <v/>
      </c>
      <c r="O12" s="21" t="str">
        <f>IF('Tréso HT'!O11&lt;&gt;0,'Tréso HT'!O11*$C12,"")</f>
        <v/>
      </c>
      <c r="P12" s="21" t="str">
        <f>IF('Tréso HT'!P11&lt;&gt;0,'Tréso HT'!P11*$C12,"")</f>
        <v/>
      </c>
      <c r="Q12" s="21" t="str">
        <f>IF('Tréso HT'!Q11&lt;&gt;0,'Tréso HT'!Q11*$C12,"")</f>
        <v/>
      </c>
      <c r="R12" s="21" t="str">
        <f>IF('Tréso HT'!R11&lt;&gt;0,'Tréso HT'!R11*$C12,"")</f>
        <v/>
      </c>
      <c r="S12" s="21" t="str">
        <f>IF('Tréso HT'!S11&lt;&gt;0,'Tréso HT'!S11*$C12,"")</f>
        <v/>
      </c>
      <c r="T12" s="21" t="str">
        <f>IF('Tréso HT'!T11&lt;&gt;0,'Tréso HT'!T11*$C12,"")</f>
        <v/>
      </c>
      <c r="U12" s="21" t="str">
        <f>IF('Tréso HT'!U11&lt;&gt;0,'Tréso HT'!U11*$C12,"")</f>
        <v/>
      </c>
      <c r="V12" s="21" t="str">
        <f>IF('Tréso HT'!V11&lt;&gt;0,'Tréso HT'!V11*$C12,"")</f>
        <v/>
      </c>
      <c r="W12" s="21" t="str">
        <f>IF('Tréso HT'!W11&lt;&gt;0,'Tréso HT'!W11*$C12,"")</f>
        <v/>
      </c>
      <c r="X12" s="21">
        <f t="shared" si="4"/>
        <v>0</v>
      </c>
    </row>
    <row r="13" spans="1:24" ht="17.25" customHeight="1" x14ac:dyDescent="0.25">
      <c r="A13" s="257"/>
      <c r="B13" s="143" t="str">
        <f>IF('Tréso HT'!B12&lt;&gt;"",'Tréso HT'!B12,"")</f>
        <v>Distillation</v>
      </c>
      <c r="C13" s="51">
        <f>IF('Tréso HT'!C12&lt;&gt;"",IF('Tréso HT'!C12=20,1.2,IF('Tréso HT'!C12=10,1.1,IF('Tréso HT'!C12=5.5,1.055,1))),1)</f>
        <v>1.2</v>
      </c>
      <c r="D13" s="21" t="str">
        <f>IF('Tréso HT'!D12&lt;&gt;0,'Tréso HT'!D12*$C13,"")</f>
        <v/>
      </c>
      <c r="E13" s="21" t="str">
        <f>IF('Tréso HT'!E12&lt;&gt;0,'Tréso HT'!E12*$C13,"")</f>
        <v/>
      </c>
      <c r="F13" s="21" t="str">
        <f>IF('Tréso HT'!F12&lt;&gt;0,'Tréso HT'!F12*$C13,"")</f>
        <v/>
      </c>
      <c r="G13" s="21" t="str">
        <f>IF('Tréso HT'!G12&lt;&gt;0,'Tréso HT'!G12*$C13,"")</f>
        <v/>
      </c>
      <c r="H13" s="21" t="str">
        <f>IF('Tréso HT'!H12&lt;&gt;0,'Tréso HT'!H12*$C13,"")</f>
        <v/>
      </c>
      <c r="I13" s="21" t="str">
        <f>IF('Tréso HT'!I12&lt;&gt;0,'Tréso HT'!I12*$C13,"")</f>
        <v/>
      </c>
      <c r="J13" s="21" t="str">
        <f>IF('Tréso HT'!J12&lt;&gt;0,'Tréso HT'!J12*$C13,"")</f>
        <v/>
      </c>
      <c r="K13" s="21" t="str">
        <f>IF('Tréso HT'!K12&lt;&gt;0,'Tréso HT'!K12*$C13,"")</f>
        <v/>
      </c>
      <c r="L13" s="21" t="str">
        <f>IF('Tréso HT'!L12&lt;&gt;0,'Tréso HT'!L12*$C13,"")</f>
        <v/>
      </c>
      <c r="M13" s="21" t="str">
        <f>IF('Tréso HT'!M12&lt;&gt;0,'Tréso HT'!M12*$C13,"")</f>
        <v/>
      </c>
      <c r="N13" s="21" t="str">
        <f>IF('Tréso HT'!N12&lt;&gt;0,'Tréso HT'!N12*$C13,"")</f>
        <v/>
      </c>
      <c r="O13" s="21" t="str">
        <f>IF('Tréso HT'!O12&lt;&gt;0,'Tréso HT'!O12*$C13,"")</f>
        <v/>
      </c>
      <c r="P13" s="21" t="str">
        <f>IF('Tréso HT'!P12&lt;&gt;0,'Tréso HT'!P12*$C13,"")</f>
        <v/>
      </c>
      <c r="Q13" s="21" t="str">
        <f>IF('Tréso HT'!Q12&lt;&gt;0,'Tréso HT'!Q12*$C13,"")</f>
        <v/>
      </c>
      <c r="R13" s="21" t="str">
        <f>IF('Tréso HT'!R12&lt;&gt;0,'Tréso HT'!R12*$C13,"")</f>
        <v/>
      </c>
      <c r="S13" s="21" t="str">
        <f>IF('Tréso HT'!S12&lt;&gt;0,'Tréso HT'!S12*$C13,"")</f>
        <v/>
      </c>
      <c r="T13" s="21" t="str">
        <f>IF('Tréso HT'!T12&lt;&gt;0,'Tréso HT'!T12*$C13,"")</f>
        <v/>
      </c>
      <c r="U13" s="21" t="str">
        <f>IF('Tréso HT'!U12&lt;&gt;0,'Tréso HT'!U12*$C13,"")</f>
        <v/>
      </c>
      <c r="V13" s="21" t="str">
        <f>IF('Tréso HT'!V12&lt;&gt;0,'Tréso HT'!V12*$C13,"")</f>
        <v/>
      </c>
      <c r="W13" s="21" t="str">
        <f>IF('Tréso HT'!W12&lt;&gt;0,'Tréso HT'!W12*$C13,"")</f>
        <v/>
      </c>
      <c r="X13" s="21">
        <f t="shared" si="4"/>
        <v>0</v>
      </c>
    </row>
    <row r="14" spans="1:24" ht="17.25" customHeight="1" x14ac:dyDescent="0.25">
      <c r="A14" s="257"/>
      <c r="B14" s="143" t="str">
        <f>IF('Tréso HT'!B13&lt;&gt;"",'Tréso HT'!B13,"")</f>
        <v>Prestation</v>
      </c>
      <c r="C14" s="51">
        <f>IF('Tréso HT'!C13&lt;&gt;"",IF('Tréso HT'!C13=20,1.2,IF('Tréso HT'!C13=10,1.1,IF('Tréso HT'!C13=5.5,1.055,1))),1)</f>
        <v>1.2</v>
      </c>
      <c r="D14" s="21" t="str">
        <f>IF('Tréso HT'!D13&lt;&gt;0,'Tréso HT'!D13*$C14,"")</f>
        <v/>
      </c>
      <c r="E14" s="21" t="str">
        <f>IF('Tréso HT'!E13&lt;&gt;0,'Tréso HT'!E13*$C14,"")</f>
        <v/>
      </c>
      <c r="F14" s="21" t="str">
        <f>IF('Tréso HT'!F13&lt;&gt;0,'Tréso HT'!F13*$C14,"")</f>
        <v/>
      </c>
      <c r="G14" s="21" t="str">
        <f>IF('Tréso HT'!G13&lt;&gt;0,'Tréso HT'!G13*$C14,"")</f>
        <v/>
      </c>
      <c r="H14" s="21" t="str">
        <f>IF('Tréso HT'!H13&lt;&gt;0,'Tréso HT'!H13*$C14,"")</f>
        <v/>
      </c>
      <c r="I14" s="21" t="str">
        <f>IF('Tréso HT'!I13&lt;&gt;0,'Tréso HT'!I13*$C14,"")</f>
        <v/>
      </c>
      <c r="J14" s="21" t="str">
        <f>IF('Tréso HT'!J13&lt;&gt;0,'Tréso HT'!J13*$C14,"")</f>
        <v/>
      </c>
      <c r="K14" s="21" t="str">
        <f>IF('Tréso HT'!K13&lt;&gt;0,'Tréso HT'!K13*$C14,"")</f>
        <v/>
      </c>
      <c r="L14" s="21" t="str">
        <f>IF('Tréso HT'!L13&lt;&gt;0,'Tréso HT'!L13*$C14,"")</f>
        <v/>
      </c>
      <c r="M14" s="21" t="str">
        <f>IF('Tréso HT'!M13&lt;&gt;0,'Tréso HT'!M13*$C14,"")</f>
        <v/>
      </c>
      <c r="N14" s="21" t="str">
        <f>IF('Tréso HT'!N13&lt;&gt;0,'Tréso HT'!N13*$C14,"")</f>
        <v/>
      </c>
      <c r="O14" s="21" t="str">
        <f>IF('Tréso HT'!O13&lt;&gt;0,'Tréso HT'!O13*$C14,"")</f>
        <v/>
      </c>
      <c r="P14" s="21" t="str">
        <f>IF('Tréso HT'!P13&lt;&gt;0,'Tréso HT'!P13*$C14,"")</f>
        <v/>
      </c>
      <c r="Q14" s="21" t="str">
        <f>IF('Tréso HT'!Q13&lt;&gt;0,'Tréso HT'!Q13*$C14,"")</f>
        <v/>
      </c>
      <c r="R14" s="21" t="str">
        <f>IF('Tréso HT'!R13&lt;&gt;0,'Tréso HT'!R13*$C14,"")</f>
        <v/>
      </c>
      <c r="S14" s="21" t="str">
        <f>IF('Tréso HT'!S13&lt;&gt;0,'Tréso HT'!S13*$C14,"")</f>
        <v/>
      </c>
      <c r="T14" s="21" t="str">
        <f>IF('Tréso HT'!T13&lt;&gt;0,'Tréso HT'!T13*$C14,"")</f>
        <v/>
      </c>
      <c r="U14" s="21" t="str">
        <f>IF('Tréso HT'!U13&lt;&gt;0,'Tréso HT'!U13*$C14,"")</f>
        <v/>
      </c>
      <c r="V14" s="21" t="str">
        <f>IF('Tréso HT'!V13&lt;&gt;0,'Tréso HT'!V13*$C14,"")</f>
        <v/>
      </c>
      <c r="W14" s="21" t="str">
        <f>IF('Tréso HT'!W13&lt;&gt;0,'Tréso HT'!W13*$C14,"")</f>
        <v/>
      </c>
      <c r="X14" s="21">
        <f t="shared" si="4"/>
        <v>0</v>
      </c>
    </row>
    <row r="15" spans="1:24" ht="17.25" customHeight="1" x14ac:dyDescent="0.25">
      <c r="A15" s="257"/>
      <c r="B15" s="143" t="str">
        <f>IF('Tréso HT'!B14&lt;&gt;"",'Tréso HT'!B14,"")</f>
        <v/>
      </c>
      <c r="C15" s="51">
        <f>IF('Tréso HT'!C14&lt;&gt;"",IF('Tréso HT'!C14=20,1.2,IF('Tréso HT'!C14=10,1.1,IF('Tréso HT'!C14=5.5,1.055,1))),1)</f>
        <v>1</v>
      </c>
      <c r="D15" s="21" t="str">
        <f>IF('Tréso HT'!D14&lt;&gt;0,'Tréso HT'!D14*$C15,"")</f>
        <v/>
      </c>
      <c r="E15" s="21" t="str">
        <f>IF('Tréso HT'!E14&lt;&gt;0,'Tréso HT'!E14*$C15,"")</f>
        <v/>
      </c>
      <c r="F15" s="21" t="str">
        <f>IF('Tréso HT'!F14&lt;&gt;0,'Tréso HT'!F14*$C15,"")</f>
        <v/>
      </c>
      <c r="G15" s="21" t="str">
        <f>IF('Tréso HT'!G14&lt;&gt;0,'Tréso HT'!G14*$C15,"")</f>
        <v/>
      </c>
      <c r="H15" s="21" t="str">
        <f>IF('Tréso HT'!H14&lt;&gt;0,'Tréso HT'!H14*$C15,"")</f>
        <v/>
      </c>
      <c r="I15" s="21" t="str">
        <f>IF('Tréso HT'!I14&lt;&gt;0,'Tréso HT'!I14*$C15,"")</f>
        <v/>
      </c>
      <c r="J15" s="21" t="str">
        <f>IF('Tréso HT'!J14&lt;&gt;0,'Tréso HT'!J14*$C15,"")</f>
        <v/>
      </c>
      <c r="K15" s="21" t="str">
        <f>IF('Tréso HT'!K14&lt;&gt;0,'Tréso HT'!K14*$C15,"")</f>
        <v/>
      </c>
      <c r="L15" s="21" t="str">
        <f>IF('Tréso HT'!L14&lt;&gt;0,'Tréso HT'!L14*$C15,"")</f>
        <v/>
      </c>
      <c r="M15" s="21" t="str">
        <f>IF('Tréso HT'!M14&lt;&gt;0,'Tréso HT'!M14*$C15,"")</f>
        <v/>
      </c>
      <c r="N15" s="21" t="str">
        <f>IF('Tréso HT'!N14&lt;&gt;0,'Tréso HT'!N14*$C15,"")</f>
        <v/>
      </c>
      <c r="O15" s="21" t="str">
        <f>IF('Tréso HT'!O14&lt;&gt;0,'Tréso HT'!O14*$C15,"")</f>
        <v/>
      </c>
      <c r="P15" s="21" t="str">
        <f>IF('Tréso HT'!P14&lt;&gt;0,'Tréso HT'!P14*$C15,"")</f>
        <v/>
      </c>
      <c r="Q15" s="21" t="str">
        <f>IF('Tréso HT'!Q14&lt;&gt;0,'Tréso HT'!Q14*$C15,"")</f>
        <v/>
      </c>
      <c r="R15" s="21" t="str">
        <f>IF('Tréso HT'!R14&lt;&gt;0,'Tréso HT'!R14*$C15,"")</f>
        <v/>
      </c>
      <c r="S15" s="21" t="str">
        <f>IF('Tréso HT'!S14&lt;&gt;0,'Tréso HT'!S14*$C15,"")</f>
        <v/>
      </c>
      <c r="T15" s="21" t="str">
        <f>IF('Tréso HT'!T14&lt;&gt;0,'Tréso HT'!T14*$C15,"")</f>
        <v/>
      </c>
      <c r="U15" s="21" t="str">
        <f>IF('Tréso HT'!U14&lt;&gt;0,'Tréso HT'!U14*$C15,"")</f>
        <v/>
      </c>
      <c r="V15" s="21" t="str">
        <f>IF('Tréso HT'!V14&lt;&gt;0,'Tréso HT'!V14*$C15,"")</f>
        <v/>
      </c>
      <c r="W15" s="21" t="str">
        <f>IF('Tréso HT'!W14&lt;&gt;0,'Tréso HT'!W14*$C15,"")</f>
        <v/>
      </c>
      <c r="X15" s="21">
        <f t="shared" si="4"/>
        <v>0</v>
      </c>
    </row>
    <row r="16" spans="1:24" ht="17.25" customHeight="1" x14ac:dyDescent="0.25">
      <c r="A16" s="257"/>
      <c r="B16" s="143" t="str">
        <f>IF('Tréso HT'!B15&lt;&gt;"",'Tréso HT'!B15,"")</f>
        <v/>
      </c>
      <c r="C16" s="51">
        <f>IF('Tréso HT'!C15&lt;&gt;"",IF('Tréso HT'!C15=20,1.2,IF('Tréso HT'!C15=10,1.1,IF('Tréso HT'!C15=5.5,1.055,1))),1)</f>
        <v>1</v>
      </c>
      <c r="D16" s="21" t="str">
        <f>IF('Tréso HT'!D15&lt;&gt;0,'Tréso HT'!D15*$C16,"")</f>
        <v/>
      </c>
      <c r="E16" s="21" t="str">
        <f>IF('Tréso HT'!E15&lt;&gt;0,'Tréso HT'!E15*$C16,"")</f>
        <v/>
      </c>
      <c r="F16" s="21" t="str">
        <f>IF('Tréso HT'!F15&lt;&gt;0,'Tréso HT'!F15*$C16,"")</f>
        <v/>
      </c>
      <c r="G16" s="21" t="str">
        <f>IF('Tréso HT'!G15&lt;&gt;0,'Tréso HT'!G15*$C16,"")</f>
        <v/>
      </c>
      <c r="H16" s="21" t="str">
        <f>IF('Tréso HT'!H15&lt;&gt;0,'Tréso HT'!H15*$C16,"")</f>
        <v/>
      </c>
      <c r="I16" s="21" t="str">
        <f>IF('Tréso HT'!I15&lt;&gt;0,'Tréso HT'!I15*$C16,"")</f>
        <v/>
      </c>
      <c r="J16" s="21" t="str">
        <f>IF('Tréso HT'!J15&lt;&gt;0,'Tréso HT'!J15*$C16,"")</f>
        <v/>
      </c>
      <c r="K16" s="21" t="str">
        <f>IF('Tréso HT'!K15&lt;&gt;0,'Tréso HT'!K15*$C16,"")</f>
        <v/>
      </c>
      <c r="L16" s="21" t="str">
        <f>IF('Tréso HT'!L15&lt;&gt;0,'Tréso HT'!L15*$C16,"")</f>
        <v/>
      </c>
      <c r="M16" s="21" t="str">
        <f>IF('Tréso HT'!M15&lt;&gt;0,'Tréso HT'!M15*$C16,"")</f>
        <v/>
      </c>
      <c r="N16" s="21" t="str">
        <f>IF('Tréso HT'!N15&lt;&gt;0,'Tréso HT'!N15*$C16,"")</f>
        <v/>
      </c>
      <c r="O16" s="21" t="str">
        <f>IF('Tréso HT'!O15&lt;&gt;0,'Tréso HT'!O15*$C16,"")</f>
        <v/>
      </c>
      <c r="P16" s="21" t="str">
        <f>IF('Tréso HT'!P15&lt;&gt;0,'Tréso HT'!P15*$C16,"")</f>
        <v/>
      </c>
      <c r="Q16" s="21" t="str">
        <f>IF('Tréso HT'!Q15&lt;&gt;0,'Tréso HT'!Q15*$C16,"")</f>
        <v/>
      </c>
      <c r="R16" s="21" t="str">
        <f>IF('Tréso HT'!R15&lt;&gt;0,'Tréso HT'!R15*$C16,"")</f>
        <v/>
      </c>
      <c r="S16" s="21" t="str">
        <f>IF('Tréso HT'!S15&lt;&gt;0,'Tréso HT'!S15*$C16,"")</f>
        <v/>
      </c>
      <c r="T16" s="21" t="str">
        <f>IF('Tréso HT'!T15&lt;&gt;0,'Tréso HT'!T15*$C16,"")</f>
        <v/>
      </c>
      <c r="U16" s="21" t="str">
        <f>IF('Tréso HT'!U15&lt;&gt;0,'Tréso HT'!U15*$C16,"")</f>
        <v/>
      </c>
      <c r="V16" s="21" t="str">
        <f>IF('Tréso HT'!V15&lt;&gt;0,'Tréso HT'!V15*$C16,"")</f>
        <v/>
      </c>
      <c r="W16" s="21" t="str">
        <f>IF('Tréso HT'!W15&lt;&gt;0,'Tréso HT'!W15*$C16,"")</f>
        <v/>
      </c>
      <c r="X16" s="21">
        <f t="shared" si="4"/>
        <v>0</v>
      </c>
    </row>
    <row r="17" spans="1:24" ht="17.25" customHeight="1" x14ac:dyDescent="0.25">
      <c r="A17" s="257"/>
      <c r="B17" s="143" t="str">
        <f>IF('Tréso HT'!B16&lt;&gt;"",'Tréso HT'!B16,"")</f>
        <v/>
      </c>
      <c r="C17" s="51">
        <f>IF('Tréso HT'!C16&lt;&gt;"",IF('Tréso HT'!C16=20,1.2,IF('Tréso HT'!C16=10,1.1,IF('Tréso HT'!C16=5.5,1.055,1))),1)</f>
        <v>1</v>
      </c>
      <c r="D17" s="21" t="str">
        <f>IF('Tréso HT'!D16&lt;&gt;0,'Tréso HT'!D16*$C17,"")</f>
        <v/>
      </c>
      <c r="E17" s="21" t="str">
        <f>IF('Tréso HT'!E16&lt;&gt;0,'Tréso HT'!E16*$C17,"")</f>
        <v/>
      </c>
      <c r="F17" s="21" t="str">
        <f>IF('Tréso HT'!F16&lt;&gt;0,'Tréso HT'!F16*$C17,"")</f>
        <v/>
      </c>
      <c r="G17" s="21" t="str">
        <f>IF('Tréso HT'!G16&lt;&gt;0,'Tréso HT'!G16*$C17,"")</f>
        <v/>
      </c>
      <c r="H17" s="21" t="str">
        <f>IF('Tréso HT'!H16&lt;&gt;0,'Tréso HT'!H16*$C17,"")</f>
        <v/>
      </c>
      <c r="I17" s="21" t="str">
        <f>IF('Tréso HT'!I16&lt;&gt;0,'Tréso HT'!I16*$C17,"")</f>
        <v/>
      </c>
      <c r="J17" s="21" t="str">
        <f>IF('Tréso HT'!J16&lt;&gt;0,'Tréso HT'!J16*$C17,"")</f>
        <v/>
      </c>
      <c r="K17" s="21" t="str">
        <f>IF('Tréso HT'!K16&lt;&gt;0,'Tréso HT'!K16*$C17,"")</f>
        <v/>
      </c>
      <c r="L17" s="21" t="str">
        <f>IF('Tréso HT'!L16&lt;&gt;0,'Tréso HT'!L16*$C17,"")</f>
        <v/>
      </c>
      <c r="M17" s="21" t="str">
        <f>IF('Tréso HT'!M16&lt;&gt;0,'Tréso HT'!M16*$C17,"")</f>
        <v/>
      </c>
      <c r="N17" s="21" t="str">
        <f>IF('Tréso HT'!N16&lt;&gt;0,'Tréso HT'!N16*$C17,"")</f>
        <v/>
      </c>
      <c r="O17" s="21" t="str">
        <f>IF('Tréso HT'!O16&lt;&gt;0,'Tréso HT'!O16*$C17,"")</f>
        <v/>
      </c>
      <c r="P17" s="21" t="str">
        <f>IF('Tréso HT'!P16&lt;&gt;0,'Tréso HT'!P16*$C17,"")</f>
        <v/>
      </c>
      <c r="Q17" s="21" t="str">
        <f>IF('Tréso HT'!Q16&lt;&gt;0,'Tréso HT'!Q16*$C17,"")</f>
        <v/>
      </c>
      <c r="R17" s="21" t="str">
        <f>IF('Tréso HT'!R16&lt;&gt;0,'Tréso HT'!R16*$C17,"")</f>
        <v/>
      </c>
      <c r="S17" s="21" t="str">
        <f>IF('Tréso HT'!S16&lt;&gt;0,'Tréso HT'!S16*$C17,"")</f>
        <v/>
      </c>
      <c r="T17" s="21" t="str">
        <f>IF('Tréso HT'!T16&lt;&gt;0,'Tréso HT'!T16*$C17,"")</f>
        <v/>
      </c>
      <c r="U17" s="21" t="str">
        <f>IF('Tréso HT'!U16&lt;&gt;0,'Tréso HT'!U16*$C17,"")</f>
        <v/>
      </c>
      <c r="V17" s="21" t="str">
        <f>IF('Tréso HT'!V16&lt;&gt;0,'Tréso HT'!V16*$C17,"")</f>
        <v/>
      </c>
      <c r="W17" s="21" t="str">
        <f>IF('Tréso HT'!W16&lt;&gt;0,'Tréso HT'!W16*$C17,"")</f>
        <v/>
      </c>
      <c r="X17" s="21">
        <f t="shared" si="4"/>
        <v>0</v>
      </c>
    </row>
    <row r="18" spans="1:24" ht="17.25" customHeight="1" x14ac:dyDescent="0.25">
      <c r="A18" s="257"/>
      <c r="B18" s="143" t="str">
        <f>IF('Tréso HT'!B17&lt;&gt;"",'Tréso HT'!B17,"")</f>
        <v/>
      </c>
      <c r="C18" s="51">
        <f>IF('Tréso HT'!C17&lt;&gt;"",IF('Tréso HT'!C17=20,1.2,IF('Tréso HT'!C17=10,1.1,IF('Tréso HT'!C17=5.5,1.055,1))),1)</f>
        <v>1</v>
      </c>
      <c r="D18" s="21" t="str">
        <f>IF('Tréso HT'!D17&lt;&gt;0,'Tréso HT'!D17*$C18,"")</f>
        <v/>
      </c>
      <c r="E18" s="21" t="str">
        <f>IF('Tréso HT'!E17&lt;&gt;0,'Tréso HT'!E17*$C18,"")</f>
        <v/>
      </c>
      <c r="F18" s="21" t="str">
        <f>IF('Tréso HT'!F17&lt;&gt;0,'Tréso HT'!F17*$C18,"")</f>
        <v/>
      </c>
      <c r="G18" s="21" t="str">
        <f>IF('Tréso HT'!G17&lt;&gt;0,'Tréso HT'!G17*$C18,"")</f>
        <v/>
      </c>
      <c r="H18" s="21" t="str">
        <f>IF('Tréso HT'!H17&lt;&gt;0,'Tréso HT'!H17*$C18,"")</f>
        <v/>
      </c>
      <c r="I18" s="21" t="str">
        <f>IF('Tréso HT'!I17&lt;&gt;0,'Tréso HT'!I17*$C18,"")</f>
        <v/>
      </c>
      <c r="J18" s="21" t="str">
        <f>IF('Tréso HT'!J17&lt;&gt;0,'Tréso HT'!J17*$C18,"")</f>
        <v/>
      </c>
      <c r="K18" s="21" t="str">
        <f>IF('Tréso HT'!K17&lt;&gt;0,'Tréso HT'!K17*$C18,"")</f>
        <v/>
      </c>
      <c r="L18" s="21" t="str">
        <f>IF('Tréso HT'!L17&lt;&gt;0,'Tréso HT'!L17*$C18,"")</f>
        <v/>
      </c>
      <c r="M18" s="21" t="str">
        <f>IF('Tréso HT'!M17&lt;&gt;0,'Tréso HT'!M17*$C18,"")</f>
        <v/>
      </c>
      <c r="N18" s="21" t="str">
        <f>IF('Tréso HT'!N17&lt;&gt;0,'Tréso HT'!N17*$C18,"")</f>
        <v/>
      </c>
      <c r="O18" s="21" t="str">
        <f>IF('Tréso HT'!O17&lt;&gt;0,'Tréso HT'!O17*$C18,"")</f>
        <v/>
      </c>
      <c r="P18" s="21" t="str">
        <f>IF('Tréso HT'!P17&lt;&gt;0,'Tréso HT'!P17*$C18,"")</f>
        <v/>
      </c>
      <c r="Q18" s="21" t="str">
        <f>IF('Tréso HT'!Q17&lt;&gt;0,'Tréso HT'!Q17*$C18,"")</f>
        <v/>
      </c>
      <c r="R18" s="21" t="str">
        <f>IF('Tréso HT'!R17&lt;&gt;0,'Tréso HT'!R17*$C18,"")</f>
        <v/>
      </c>
      <c r="S18" s="21" t="str">
        <f>IF('Tréso HT'!S17&lt;&gt;0,'Tréso HT'!S17*$C18,"")</f>
        <v/>
      </c>
      <c r="T18" s="21" t="str">
        <f>IF('Tréso HT'!T17&lt;&gt;0,'Tréso HT'!T17*$C18,"")</f>
        <v/>
      </c>
      <c r="U18" s="21" t="str">
        <f>IF('Tréso HT'!U17&lt;&gt;0,'Tréso HT'!U17*$C18,"")</f>
        <v/>
      </c>
      <c r="V18" s="21" t="str">
        <f>IF('Tréso HT'!V17&lt;&gt;0,'Tréso HT'!V17*$C18,"")</f>
        <v/>
      </c>
      <c r="W18" s="21" t="str">
        <f>IF('Tréso HT'!W17&lt;&gt;0,'Tréso HT'!W17*$C18,"")</f>
        <v/>
      </c>
      <c r="X18" s="21">
        <f t="shared" si="4"/>
        <v>0</v>
      </c>
    </row>
    <row r="19" spans="1:24" ht="17.25" customHeight="1" x14ac:dyDescent="0.25">
      <c r="A19" s="257"/>
      <c r="B19" s="143" t="str">
        <f>IF('Tréso HT'!B18&lt;&gt;"",'Tréso HT'!B18,"")</f>
        <v>Subventions</v>
      </c>
      <c r="C19" s="51">
        <f>IF('Tréso HT'!C18&lt;&gt;"",IF('Tréso HT'!C18=20,1.2,IF('Tréso HT'!C18=10,1.1,IF('Tréso HT'!C18=5.5,1.055,1))),1)</f>
        <v>1</v>
      </c>
      <c r="D19" s="21" t="str">
        <f>IF('Tréso HT'!D18&lt;&gt;0,'Tréso HT'!D18*$C19,"")</f>
        <v/>
      </c>
      <c r="E19" s="21" t="str">
        <f>IF('Tréso HT'!E18&lt;&gt;0,'Tréso HT'!E18*$C19,"")</f>
        <v/>
      </c>
      <c r="F19" s="21" t="str">
        <f>IF('Tréso HT'!F18&lt;&gt;0,'Tréso HT'!F18*$C19,"")</f>
        <v/>
      </c>
      <c r="G19" s="21" t="str">
        <f>IF('Tréso HT'!G18&lt;&gt;0,'Tréso HT'!G18*$C19,"")</f>
        <v/>
      </c>
      <c r="H19" s="21" t="str">
        <f>IF('Tréso HT'!H18&lt;&gt;0,'Tréso HT'!H18*$C19,"")</f>
        <v/>
      </c>
      <c r="I19" s="21" t="str">
        <f>IF('Tréso HT'!I18&lt;&gt;0,'Tréso HT'!I18*$C19,"")</f>
        <v/>
      </c>
      <c r="J19" s="21" t="str">
        <f>IF('Tréso HT'!J18&lt;&gt;0,'Tréso HT'!J18*$C19,"")</f>
        <v/>
      </c>
      <c r="K19" s="21" t="str">
        <f>IF('Tréso HT'!K18&lt;&gt;0,'Tréso HT'!K18*$C19,"")</f>
        <v/>
      </c>
      <c r="L19" s="21" t="str">
        <f>IF('Tréso HT'!L18&lt;&gt;0,'Tréso HT'!L18*$C19,"")</f>
        <v/>
      </c>
      <c r="M19" s="21" t="str">
        <f>IF('Tréso HT'!M18&lt;&gt;0,'Tréso HT'!M18*$C19,"")</f>
        <v/>
      </c>
      <c r="N19" s="21" t="str">
        <f>IF('Tréso HT'!N18&lt;&gt;0,'Tréso HT'!N18*$C19,"")</f>
        <v/>
      </c>
      <c r="O19" s="21" t="str">
        <f>IF('Tréso HT'!O18&lt;&gt;0,'Tréso HT'!O18*$C19,"")</f>
        <v/>
      </c>
      <c r="P19" s="21" t="str">
        <f>IF('Tréso HT'!P18&lt;&gt;0,'Tréso HT'!P18*$C19,"")</f>
        <v/>
      </c>
      <c r="Q19" s="21" t="str">
        <f>IF('Tréso HT'!Q18&lt;&gt;0,'Tréso HT'!Q18*$C19,"")</f>
        <v/>
      </c>
      <c r="R19" s="21" t="str">
        <f>IF('Tréso HT'!R18&lt;&gt;0,'Tréso HT'!R18*$C19,"")</f>
        <v/>
      </c>
      <c r="S19" s="21" t="str">
        <f>IF('Tréso HT'!S18&lt;&gt;0,'Tréso HT'!S18*$C19,"")</f>
        <v/>
      </c>
      <c r="T19" s="21" t="str">
        <f>IF('Tréso HT'!T18&lt;&gt;0,'Tréso HT'!T18*$C19,"")</f>
        <v/>
      </c>
      <c r="U19" s="21" t="str">
        <f>IF('Tréso HT'!U18&lt;&gt;0,'Tréso HT'!U18*$C19,"")</f>
        <v/>
      </c>
      <c r="V19" s="21" t="str">
        <f>IF('Tréso HT'!V18&lt;&gt;0,'Tréso HT'!V18*$C19,"")</f>
        <v/>
      </c>
      <c r="W19" s="21" t="str">
        <f>IF('Tréso HT'!W18&lt;&gt;0,'Tréso HT'!W18*$C19,"")</f>
        <v/>
      </c>
      <c r="X19" s="21">
        <f t="shared" si="4"/>
        <v>0</v>
      </c>
    </row>
    <row r="20" spans="1:24" ht="17.25" customHeight="1" x14ac:dyDescent="0.25">
      <c r="A20" s="257"/>
      <c r="B20" s="143" t="str">
        <f>IF('Tréso HT'!B19&lt;&gt;"",'Tréso HT'!B19,"")</f>
        <v>Emprunts LMT contractés</v>
      </c>
      <c r="C20" s="51">
        <f>IF('Tréso HT'!C19&lt;&gt;"",IF('Tréso HT'!C19=20,1.2,IF('Tréso HT'!C19=10,1.1,IF('Tréso HT'!C19=5.5,1.055,1))),1)</f>
        <v>1</v>
      </c>
      <c r="D20" s="21" t="str">
        <f>IF('Tréso HT'!D19&lt;&gt;0,'Tréso HT'!D19*$C20,"")</f>
        <v/>
      </c>
      <c r="E20" s="21" t="str">
        <f>IF('Tréso HT'!E19&lt;&gt;0,'Tréso HT'!E19*$C20,"")</f>
        <v/>
      </c>
      <c r="F20" s="21" t="str">
        <f>IF('Tréso HT'!F19&lt;&gt;0,'Tréso HT'!F19*$C20,"")</f>
        <v/>
      </c>
      <c r="G20" s="21" t="str">
        <f>IF('Tréso HT'!G19&lt;&gt;0,'Tréso HT'!G19*$C20,"")</f>
        <v/>
      </c>
      <c r="H20" s="21" t="str">
        <f>IF('Tréso HT'!H19&lt;&gt;0,'Tréso HT'!H19*$C20,"")</f>
        <v/>
      </c>
      <c r="I20" s="21" t="str">
        <f>IF('Tréso HT'!I19&lt;&gt;0,'Tréso HT'!I19*$C20,"")</f>
        <v/>
      </c>
      <c r="J20" s="21" t="str">
        <f>IF('Tréso HT'!J19&lt;&gt;0,'Tréso HT'!J19*$C20,"")</f>
        <v/>
      </c>
      <c r="K20" s="21" t="str">
        <f>IF('Tréso HT'!K19&lt;&gt;0,'Tréso HT'!K19*$C20,"")</f>
        <v/>
      </c>
      <c r="L20" s="21" t="str">
        <f>IF('Tréso HT'!L19&lt;&gt;0,'Tréso HT'!L19*$C20,"")</f>
        <v/>
      </c>
      <c r="M20" s="21" t="str">
        <f>IF('Tréso HT'!M19&lt;&gt;0,'Tréso HT'!M19*$C20,"")</f>
        <v/>
      </c>
      <c r="N20" s="21" t="str">
        <f>IF('Tréso HT'!N19&lt;&gt;0,'Tréso HT'!N19*$C20,"")</f>
        <v/>
      </c>
      <c r="O20" s="21" t="str">
        <f>IF('Tréso HT'!O19&lt;&gt;0,'Tréso HT'!O19*$C20,"")</f>
        <v/>
      </c>
      <c r="P20" s="21" t="str">
        <f>IF('Tréso HT'!P19&lt;&gt;0,'Tréso HT'!P19*$C20,"")</f>
        <v/>
      </c>
      <c r="Q20" s="21" t="str">
        <f>IF('Tréso HT'!Q19&lt;&gt;0,'Tréso HT'!Q19*$C20,"")</f>
        <v/>
      </c>
      <c r="R20" s="21" t="str">
        <f>IF('Tréso HT'!R19&lt;&gt;0,'Tréso HT'!R19*$C20,"")</f>
        <v/>
      </c>
      <c r="S20" s="21" t="str">
        <f>IF('Tréso HT'!S19&lt;&gt;0,'Tréso HT'!S19*$C20,"")</f>
        <v/>
      </c>
      <c r="T20" s="21" t="str">
        <f>IF('Tréso HT'!T19&lt;&gt;0,'Tréso HT'!T19*$C20,"")</f>
        <v/>
      </c>
      <c r="U20" s="21" t="str">
        <f>IF('Tréso HT'!U19&lt;&gt;0,'Tréso HT'!U19*$C20,"")</f>
        <v/>
      </c>
      <c r="V20" s="21" t="str">
        <f>IF('Tréso HT'!V19&lt;&gt;0,'Tréso HT'!V19*$C20,"")</f>
        <v/>
      </c>
      <c r="W20" s="21" t="str">
        <f>IF('Tréso HT'!W19&lt;&gt;0,'Tréso HT'!W19*$C20,"")</f>
        <v/>
      </c>
      <c r="X20" s="21">
        <f t="shared" ref="X19:X24" si="5">SUM(D20:W20)</f>
        <v>0</v>
      </c>
    </row>
    <row r="21" spans="1:24" ht="17.25" customHeight="1" x14ac:dyDescent="0.25">
      <c r="A21" s="257"/>
      <c r="B21" s="143" t="str">
        <f>IF('Tréso HT'!B20&lt;&gt;"",'Tréso HT'!B20,"")</f>
        <v>Cession d'immobilisations</v>
      </c>
      <c r="C21" s="51">
        <f>IF('Tréso HT'!C20&lt;&gt;"",IF('Tréso HT'!C20=20,1.2,IF('Tréso HT'!C20=10,1.1,IF('Tréso HT'!C20=5.5,1.055,1))),1)</f>
        <v>1</v>
      </c>
      <c r="D21" s="21" t="str">
        <f>IF('Tréso HT'!D20&lt;&gt;0,'Tréso HT'!D20*$C21,"")</f>
        <v/>
      </c>
      <c r="E21" s="21" t="str">
        <f>IF('Tréso HT'!E20&lt;&gt;0,'Tréso HT'!E20*$C21,"")</f>
        <v/>
      </c>
      <c r="F21" s="21" t="str">
        <f>IF('Tréso HT'!F20&lt;&gt;0,'Tréso HT'!F20*$C21,"")</f>
        <v/>
      </c>
      <c r="G21" s="21" t="str">
        <f>IF('Tréso HT'!G20&lt;&gt;0,'Tréso HT'!G20*$C21,"")</f>
        <v/>
      </c>
      <c r="H21" s="21" t="str">
        <f>IF('Tréso HT'!H20&lt;&gt;0,'Tréso HT'!H20*$C21,"")</f>
        <v/>
      </c>
      <c r="I21" s="21" t="str">
        <f>IF('Tréso HT'!I20&lt;&gt;0,'Tréso HT'!I20*$C21,"")</f>
        <v/>
      </c>
      <c r="J21" s="21" t="str">
        <f>IF('Tréso HT'!J20&lt;&gt;0,'Tréso HT'!J20*$C21,"")</f>
        <v/>
      </c>
      <c r="K21" s="21" t="str">
        <f>IF('Tréso HT'!K20&lt;&gt;0,'Tréso HT'!K20*$C21,"")</f>
        <v/>
      </c>
      <c r="L21" s="21" t="str">
        <f>IF('Tréso HT'!L20&lt;&gt;0,'Tréso HT'!L20*$C21,"")</f>
        <v/>
      </c>
      <c r="M21" s="21" t="str">
        <f>IF('Tréso HT'!M20&lt;&gt;0,'Tréso HT'!M20*$C21,"")</f>
        <v/>
      </c>
      <c r="N21" s="21" t="str">
        <f>IF('Tréso HT'!N20&lt;&gt;0,'Tréso HT'!N20*$C21,"")</f>
        <v/>
      </c>
      <c r="O21" s="21" t="str">
        <f>IF('Tréso HT'!O20&lt;&gt;0,'Tréso HT'!O20*$C21,"")</f>
        <v/>
      </c>
      <c r="P21" s="21" t="str">
        <f>IF('Tréso HT'!P20&lt;&gt;0,'Tréso HT'!P20*$C21,"")</f>
        <v/>
      </c>
      <c r="Q21" s="21" t="str">
        <f>IF('Tréso HT'!Q20&lt;&gt;0,'Tréso HT'!Q20*$C21,"")</f>
        <v/>
      </c>
      <c r="R21" s="21" t="str">
        <f>IF('Tréso HT'!R20&lt;&gt;0,'Tréso HT'!R20*$C21,"")</f>
        <v/>
      </c>
      <c r="S21" s="21" t="str">
        <f>IF('Tréso HT'!S20&lt;&gt;0,'Tréso HT'!S20*$C21,"")</f>
        <v/>
      </c>
      <c r="T21" s="21" t="str">
        <f>IF('Tréso HT'!T20&lt;&gt;0,'Tréso HT'!T20*$C21,"")</f>
        <v/>
      </c>
      <c r="U21" s="21" t="str">
        <f>IF('Tréso HT'!U20&lt;&gt;0,'Tréso HT'!U20*$C21,"")</f>
        <v/>
      </c>
      <c r="V21" s="21" t="str">
        <f>IF('Tréso HT'!V20&lt;&gt;0,'Tréso HT'!V20*$C21,"")</f>
        <v/>
      </c>
      <c r="W21" s="21" t="str">
        <f>IF('Tréso HT'!W20&lt;&gt;0,'Tréso HT'!W20*$C21,"")</f>
        <v/>
      </c>
      <c r="X21" s="21">
        <f t="shared" si="5"/>
        <v>0</v>
      </c>
    </row>
    <row r="22" spans="1:24" ht="17.25" customHeight="1" x14ac:dyDescent="0.25">
      <c r="A22" s="257"/>
      <c r="B22" s="143" t="str">
        <f>IF('Tréso HT'!B21&lt;&gt;"",'Tréso HT'!B21,"")</f>
        <v>Remboursement TVA   à compléter si choix "acompte TVA manuelle"</v>
      </c>
      <c r="C22" s="51">
        <f>IF('Tréso HT'!C21&lt;&gt;"",IF('Tréso HT'!C21=20,1.2,IF('Tréso HT'!C21=10,1.1,IF('Tréso HT'!C21=5.5,1.055,1))),1)</f>
        <v>1</v>
      </c>
      <c r="D22" s="21" t="str">
        <f>IF('Tréso HT'!D21&lt;&gt;0,'Tréso HT'!D21*$C22,"")</f>
        <v/>
      </c>
      <c r="E22" s="21" t="str">
        <f>IF('Tréso HT'!E21&lt;&gt;0,'Tréso HT'!E21*$C22,"")</f>
        <v/>
      </c>
      <c r="F22" s="21" t="str">
        <f>IF('Tréso HT'!F21&lt;&gt;0,'Tréso HT'!F21*$C22,"")</f>
        <v/>
      </c>
      <c r="G22" s="21" t="str">
        <f>IF('Tréso HT'!G21&lt;&gt;0,'Tréso HT'!G21*$C22,"")</f>
        <v/>
      </c>
      <c r="H22" s="21" t="str">
        <f>IF('Tréso HT'!H21&lt;&gt;0,'Tréso HT'!H21*$C22,"")</f>
        <v/>
      </c>
      <c r="I22" s="21" t="str">
        <f>IF('Tréso HT'!I21&lt;&gt;0,'Tréso HT'!I21*$C22,"")</f>
        <v/>
      </c>
      <c r="J22" s="21" t="str">
        <f>IF('Tréso HT'!J21&lt;&gt;0,'Tréso HT'!J21*$C22,"")</f>
        <v/>
      </c>
      <c r="K22" s="21" t="str">
        <f>IF('Tréso HT'!K21&lt;&gt;0,'Tréso HT'!K21*$C22,"")</f>
        <v/>
      </c>
      <c r="L22" s="21" t="str">
        <f>IF('Tréso HT'!L21&lt;&gt;0,'Tréso HT'!L21*$C22,"")</f>
        <v/>
      </c>
      <c r="M22" s="21" t="str">
        <f>IF('Tréso HT'!M21&lt;&gt;0,'Tréso HT'!M21*$C22,"")</f>
        <v/>
      </c>
      <c r="N22" s="21" t="str">
        <f>IF('Tréso HT'!N21&lt;&gt;0,'Tréso HT'!N21*$C22,"")</f>
        <v/>
      </c>
      <c r="O22" s="21" t="str">
        <f>IF('Tréso HT'!O21&lt;&gt;0,'Tréso HT'!O21*$C22,"")</f>
        <v/>
      </c>
      <c r="P22" s="21" t="str">
        <f>IF('Tréso HT'!P21&lt;&gt;0,'Tréso HT'!P21*$C22,"")</f>
        <v/>
      </c>
      <c r="Q22" s="21" t="str">
        <f>IF('Tréso HT'!Q21&lt;&gt;0,'Tréso HT'!Q21*$C22,"")</f>
        <v/>
      </c>
      <c r="R22" s="21" t="str">
        <f>IF('Tréso HT'!R21&lt;&gt;0,'Tréso HT'!R21*$C22,"")</f>
        <v/>
      </c>
      <c r="S22" s="21" t="str">
        <f>IF('Tréso HT'!S21&lt;&gt;0,'Tréso HT'!S21*$C22,"")</f>
        <v/>
      </c>
      <c r="T22" s="21" t="str">
        <f>IF('Tréso HT'!T21&lt;&gt;0,'Tréso HT'!T21*$C22,"")</f>
        <v/>
      </c>
      <c r="U22" s="21" t="str">
        <f>IF('Tréso HT'!U21&lt;&gt;0,'Tréso HT'!U21*$C22,"")</f>
        <v/>
      </c>
      <c r="V22" s="21" t="str">
        <f>IF('Tréso HT'!V21&lt;&gt;0,'Tréso HT'!V21*$C22,"")</f>
        <v/>
      </c>
      <c r="W22" s="21" t="str">
        <f>IF('Tréso HT'!W21&lt;&gt;0,'Tréso HT'!W21*$C22,"")</f>
        <v/>
      </c>
      <c r="X22" s="21">
        <f t="shared" si="5"/>
        <v>0</v>
      </c>
    </row>
    <row r="23" spans="1:24" ht="17.25" customHeight="1" thickBot="1" x14ac:dyDescent="0.3">
      <c r="A23" s="257"/>
      <c r="B23" s="143" t="s">
        <v>124</v>
      </c>
      <c r="C23" s="51"/>
      <c r="D23" s="21" t="str">
        <f>IF(D131&lt;&gt;"",-D131,"")</f>
        <v/>
      </c>
      <c r="E23" s="21" t="str">
        <f t="shared" ref="E23:W23" si="6">IF(E131&lt;&gt;"",-E131,"")</f>
        <v/>
      </c>
      <c r="F23" s="21" t="str">
        <f t="shared" si="6"/>
        <v/>
      </c>
      <c r="G23" s="21" t="str">
        <f t="shared" si="6"/>
        <v/>
      </c>
      <c r="H23" s="21" t="str">
        <f t="shared" si="6"/>
        <v/>
      </c>
      <c r="I23" s="21" t="str">
        <f t="shared" si="6"/>
        <v/>
      </c>
      <c r="J23" s="21" t="str">
        <f t="shared" si="6"/>
        <v/>
      </c>
      <c r="K23" s="21" t="str">
        <f t="shared" si="6"/>
        <v/>
      </c>
      <c r="L23" s="21" t="str">
        <f t="shared" si="6"/>
        <v/>
      </c>
      <c r="M23" s="21" t="str">
        <f t="shared" si="6"/>
        <v/>
      </c>
      <c r="N23" s="21" t="str">
        <f t="shared" si="6"/>
        <v/>
      </c>
      <c r="O23" s="21" t="str">
        <f t="shared" si="6"/>
        <v/>
      </c>
      <c r="P23" s="21" t="str">
        <f t="shared" ca="1" si="6"/>
        <v/>
      </c>
      <c r="Q23" s="21" t="str">
        <f t="shared" si="6"/>
        <v/>
      </c>
      <c r="R23" s="21" t="str">
        <f t="shared" si="6"/>
        <v/>
      </c>
      <c r="S23" s="21" t="str">
        <f t="shared" ca="1" si="6"/>
        <v/>
      </c>
      <c r="T23" s="21" t="str">
        <f t="shared" si="6"/>
        <v/>
      </c>
      <c r="U23" s="21" t="str">
        <f t="shared" si="6"/>
        <v/>
      </c>
      <c r="V23" s="21" t="str">
        <f t="shared" ca="1" si="6"/>
        <v/>
      </c>
      <c r="W23" s="21" t="str">
        <f t="shared" si="6"/>
        <v/>
      </c>
      <c r="X23" s="21">
        <f t="shared" ca="1" si="5"/>
        <v>0</v>
      </c>
    </row>
    <row r="24" spans="1:24" ht="17.25" customHeight="1" thickBot="1" x14ac:dyDescent="0.3">
      <c r="A24" s="196"/>
      <c r="B24" s="146" t="str">
        <f>IF('Tréso HT'!B23&lt;&gt;"",'Tréso HT'!B23,"")</f>
        <v>TOTAL Encaissement (2)</v>
      </c>
      <c r="C24" s="181">
        <f>IF('Tréso HT'!C23&lt;&gt;"",IF('Tréso HT'!C23=20,1.2,IF('Tréso HT'!C23=10,1.1,IF('Tréso HT'!C23=5.5,1.055,1))),1)</f>
        <v>1</v>
      </c>
      <c r="D24" s="186">
        <f>SUM(D9:D23)</f>
        <v>0</v>
      </c>
      <c r="E24" s="186">
        <f t="shared" ref="E24:W24" si="7">SUM(E9:E23)</f>
        <v>0</v>
      </c>
      <c r="F24" s="186">
        <f t="shared" si="7"/>
        <v>0</v>
      </c>
      <c r="G24" s="186">
        <f t="shared" si="7"/>
        <v>0</v>
      </c>
      <c r="H24" s="186">
        <f t="shared" si="7"/>
        <v>0</v>
      </c>
      <c r="I24" s="186">
        <f t="shared" si="7"/>
        <v>0</v>
      </c>
      <c r="J24" s="186">
        <f t="shared" si="7"/>
        <v>0</v>
      </c>
      <c r="K24" s="186">
        <f t="shared" si="7"/>
        <v>0</v>
      </c>
      <c r="L24" s="186">
        <f t="shared" si="7"/>
        <v>0</v>
      </c>
      <c r="M24" s="186">
        <f t="shared" si="7"/>
        <v>0</v>
      </c>
      <c r="N24" s="186">
        <f t="shared" si="7"/>
        <v>0</v>
      </c>
      <c r="O24" s="186">
        <f t="shared" si="7"/>
        <v>0</v>
      </c>
      <c r="P24" s="186">
        <f t="shared" ca="1" si="7"/>
        <v>0</v>
      </c>
      <c r="Q24" s="186">
        <f t="shared" si="7"/>
        <v>0</v>
      </c>
      <c r="R24" s="186">
        <f t="shared" si="7"/>
        <v>0</v>
      </c>
      <c r="S24" s="186">
        <f t="shared" ca="1" si="7"/>
        <v>0</v>
      </c>
      <c r="T24" s="186">
        <f t="shared" si="7"/>
        <v>0</v>
      </c>
      <c r="U24" s="186">
        <f t="shared" si="7"/>
        <v>0</v>
      </c>
      <c r="V24" s="186">
        <f t="shared" ca="1" si="7"/>
        <v>0</v>
      </c>
      <c r="W24" s="186">
        <f t="shared" si="7"/>
        <v>0</v>
      </c>
      <c r="X24" s="187">
        <f t="shared" ca="1" si="5"/>
        <v>0</v>
      </c>
    </row>
    <row r="25" spans="1:24" ht="17.25" customHeight="1" x14ac:dyDescent="0.25">
      <c r="A25" s="150"/>
      <c r="B25" s="142" t="str">
        <f>IF('Tréso HT'!B24&lt;&gt;"",'Tréso HT'!B24,"")</f>
        <v>Décaissements</v>
      </c>
      <c r="C25" s="182">
        <f>IF('Tréso HT'!C24&lt;&gt;"",IF('Tréso HT'!C24=20,1.2,IF('Tréso HT'!C24=10,1.1,IF('Tréso HT'!C24=5.5,1.055,1))),1)</f>
        <v>1</v>
      </c>
      <c r="D25" s="180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169"/>
    </row>
    <row r="26" spans="1:24" ht="17.25" customHeight="1" x14ac:dyDescent="0.25">
      <c r="A26" s="256" t="s">
        <v>18</v>
      </c>
      <c r="B26" s="143" t="str">
        <f>IF('Tréso HT'!B25&lt;&gt;"",'Tréso HT'!B25,"")</f>
        <v>Achat appros (engrais, traitements…)</v>
      </c>
      <c r="C26" s="51">
        <f>IF('Tréso HT'!C25&lt;&gt;"",IF('Tréso HT'!C25=20,1.2,IF('Tréso HT'!C25=10,1.1,IF('Tréso HT'!C25=5.5,1.055,1))),1)</f>
        <v>1.2</v>
      </c>
      <c r="D26" s="21" t="str">
        <f>IF('Tréso HT'!D25&lt;&gt;0,'Tréso HT'!D25*$C26,"")</f>
        <v/>
      </c>
      <c r="E26" s="21" t="str">
        <f>IF('Tréso HT'!E25&lt;&gt;0,'Tréso HT'!E25*$C26,"")</f>
        <v/>
      </c>
      <c r="F26" s="21" t="str">
        <f>IF('Tréso HT'!F25&lt;&gt;0,'Tréso HT'!F25*$C26,"")</f>
        <v/>
      </c>
      <c r="G26" s="21" t="str">
        <f>IF('Tréso HT'!G25&lt;&gt;0,'Tréso HT'!G25*$C26,"")</f>
        <v/>
      </c>
      <c r="H26" s="21" t="str">
        <f>IF('Tréso HT'!H25&lt;&gt;0,'Tréso HT'!H25*$C26,"")</f>
        <v/>
      </c>
      <c r="I26" s="21" t="str">
        <f>IF('Tréso HT'!I25&lt;&gt;0,'Tréso HT'!I25*$C26,"")</f>
        <v/>
      </c>
      <c r="J26" s="21" t="str">
        <f>IF('Tréso HT'!J25&lt;&gt;0,'Tréso HT'!J25*$C26,"")</f>
        <v/>
      </c>
      <c r="K26" s="21" t="str">
        <f>IF('Tréso HT'!K25&lt;&gt;0,'Tréso HT'!K25*$C26,"")</f>
        <v/>
      </c>
      <c r="L26" s="21" t="str">
        <f>IF('Tréso HT'!L25&lt;&gt;0,'Tréso HT'!L25*$C26,"")</f>
        <v/>
      </c>
      <c r="M26" s="21" t="str">
        <f>IF('Tréso HT'!M25&lt;&gt;0,'Tréso HT'!M25*$C26,"")</f>
        <v/>
      </c>
      <c r="N26" s="21" t="str">
        <f>IF('Tréso HT'!N25&lt;&gt;0,'Tréso HT'!N25*$C26,"")</f>
        <v/>
      </c>
      <c r="O26" s="21" t="str">
        <f>IF('Tréso HT'!O25&lt;&gt;0,'Tréso HT'!O25*$C26,"")</f>
        <v/>
      </c>
      <c r="P26" s="21" t="str">
        <f>IF('Tréso HT'!P25&lt;&gt;0,'Tréso HT'!P25*$C26,"")</f>
        <v/>
      </c>
      <c r="Q26" s="21" t="str">
        <f>IF('Tréso HT'!Q25&lt;&gt;0,'Tréso HT'!Q25*$C26,"")</f>
        <v/>
      </c>
      <c r="R26" s="21" t="str">
        <f>IF('Tréso HT'!R25&lt;&gt;0,'Tréso HT'!R25*$C26,"")</f>
        <v/>
      </c>
      <c r="S26" s="21" t="str">
        <f>IF('Tréso HT'!S25&lt;&gt;0,'Tréso HT'!S25*$C26,"")</f>
        <v/>
      </c>
      <c r="T26" s="21" t="str">
        <f>IF('Tréso HT'!T25&lt;&gt;0,'Tréso HT'!T25*$C26,"")</f>
        <v/>
      </c>
      <c r="U26" s="21" t="str">
        <f>IF('Tréso HT'!U25&lt;&gt;0,'Tréso HT'!U25*$C26,"")</f>
        <v/>
      </c>
      <c r="V26" s="21" t="str">
        <f>IF('Tréso HT'!V25&lt;&gt;0,'Tréso HT'!V25*$C26,"")</f>
        <v/>
      </c>
      <c r="W26" s="21" t="str">
        <f>IF('Tréso HT'!W25&lt;&gt;0,'Tréso HT'!W25*$C26,"")</f>
        <v/>
      </c>
      <c r="X26" s="21">
        <f>SUM(D26:O26)</f>
        <v>0</v>
      </c>
    </row>
    <row r="27" spans="1:24" ht="17.25" customHeight="1" x14ac:dyDescent="0.25">
      <c r="A27" s="257"/>
      <c r="B27" s="143" t="str">
        <f>IF('Tréso HT'!B26&lt;&gt;"",'Tréso HT'!B26,"")</f>
        <v>Semences</v>
      </c>
      <c r="C27" s="51">
        <f>IF('Tréso HT'!C26&lt;&gt;"",IF('Tréso HT'!C26=20,1.2,IF('Tréso HT'!C26=10,1.1,IF('Tréso HT'!C26=5.5,1.055,1))),1)</f>
        <v>1.1000000000000001</v>
      </c>
      <c r="D27" s="21" t="str">
        <f>IF('Tréso HT'!D26&lt;&gt;0,'Tréso HT'!D26*$C27,"")</f>
        <v/>
      </c>
      <c r="E27" s="21" t="str">
        <f>IF('Tréso HT'!E26&lt;&gt;0,'Tréso HT'!E26*$C27,"")</f>
        <v/>
      </c>
      <c r="F27" s="21" t="str">
        <f>IF('Tréso HT'!F26&lt;&gt;0,'Tréso HT'!F26*$C27,"")</f>
        <v/>
      </c>
      <c r="G27" s="21" t="str">
        <f>IF('Tréso HT'!G26&lt;&gt;0,'Tréso HT'!G26*$C27,"")</f>
        <v/>
      </c>
      <c r="H27" s="21" t="str">
        <f>IF('Tréso HT'!H26&lt;&gt;0,'Tréso HT'!H26*$C27,"")</f>
        <v/>
      </c>
      <c r="I27" s="21" t="str">
        <f>IF('Tréso HT'!I26&lt;&gt;0,'Tréso HT'!I26*$C27,"")</f>
        <v/>
      </c>
      <c r="J27" s="21" t="str">
        <f>IF('Tréso HT'!J26&lt;&gt;0,'Tréso HT'!J26*$C27,"")</f>
        <v/>
      </c>
      <c r="K27" s="21" t="str">
        <f>IF('Tréso HT'!K26&lt;&gt;0,'Tréso HT'!K26*$C27,"")</f>
        <v/>
      </c>
      <c r="L27" s="21" t="str">
        <f>IF('Tréso HT'!L26&lt;&gt;0,'Tréso HT'!L26*$C27,"")</f>
        <v/>
      </c>
      <c r="M27" s="21" t="str">
        <f>IF('Tréso HT'!M26&lt;&gt;0,'Tréso HT'!M26*$C27,"")</f>
        <v/>
      </c>
      <c r="N27" s="21" t="str">
        <f>IF('Tréso HT'!N26&lt;&gt;0,'Tréso HT'!N26*$C27,"")</f>
        <v/>
      </c>
      <c r="O27" s="21" t="str">
        <f>IF('Tréso HT'!O26&lt;&gt;0,'Tréso HT'!O26*$C27,"")</f>
        <v/>
      </c>
      <c r="P27" s="21" t="str">
        <f>IF('Tréso HT'!P26&lt;&gt;0,'Tréso HT'!P26*$C27,"")</f>
        <v/>
      </c>
      <c r="Q27" s="21" t="str">
        <f>IF('Tréso HT'!Q26&lt;&gt;0,'Tréso HT'!Q26*$C27,"")</f>
        <v/>
      </c>
      <c r="R27" s="21" t="str">
        <f>IF('Tréso HT'!R26&lt;&gt;0,'Tréso HT'!R26*$C27,"")</f>
        <v/>
      </c>
      <c r="S27" s="21" t="str">
        <f>IF('Tréso HT'!S26&lt;&gt;0,'Tréso HT'!S26*$C27,"")</f>
        <v/>
      </c>
      <c r="T27" s="21" t="str">
        <f>IF('Tréso HT'!T26&lt;&gt;0,'Tréso HT'!T26*$C27,"")</f>
        <v/>
      </c>
      <c r="U27" s="21" t="str">
        <f>IF('Tréso HT'!U26&lt;&gt;0,'Tréso HT'!U26*$C27,"")</f>
        <v/>
      </c>
      <c r="V27" s="21" t="str">
        <f>IF('Tréso HT'!V26&lt;&gt;0,'Tréso HT'!V26*$C27,"")</f>
        <v/>
      </c>
      <c r="W27" s="21" t="str">
        <f>IF('Tréso HT'!W26&lt;&gt;0,'Tréso HT'!W26*$C27,"")</f>
        <v/>
      </c>
      <c r="X27" s="21">
        <f t="shared" ref="X27:X39" si="8">SUM(D27:O27)</f>
        <v>0</v>
      </c>
    </row>
    <row r="28" spans="1:24" ht="17.25" customHeight="1" x14ac:dyDescent="0.25">
      <c r="A28" s="257"/>
      <c r="B28" s="143" t="str">
        <f>IF('Tréso HT'!B27&lt;&gt;"",'Tréso HT'!B27,"")</f>
        <v>Conditionnement (bouteille, étiquette, coiffe…)</v>
      </c>
      <c r="C28" s="51">
        <f>IF('Tréso HT'!C27&lt;&gt;"",IF('Tréso HT'!C27=20,1.2,IF('Tréso HT'!C27=10,1.1,IF('Tréso HT'!C27=5.5,1.055,1))),1)</f>
        <v>1.2</v>
      </c>
      <c r="D28" s="21" t="str">
        <f>IF('Tréso HT'!D27&lt;&gt;0,'Tréso HT'!D27*$C28,"")</f>
        <v/>
      </c>
      <c r="E28" s="21" t="str">
        <f>IF('Tréso HT'!E27&lt;&gt;0,'Tréso HT'!E27*$C28,"")</f>
        <v/>
      </c>
      <c r="F28" s="21" t="str">
        <f>IF('Tréso HT'!F27&lt;&gt;0,'Tréso HT'!F27*$C28,"")</f>
        <v/>
      </c>
      <c r="G28" s="21" t="str">
        <f>IF('Tréso HT'!G27&lt;&gt;0,'Tréso HT'!G27*$C28,"")</f>
        <v/>
      </c>
      <c r="H28" s="21" t="str">
        <f>IF('Tréso HT'!H27&lt;&gt;0,'Tréso HT'!H27*$C28,"")</f>
        <v/>
      </c>
      <c r="I28" s="21" t="str">
        <f>IF('Tréso HT'!I27&lt;&gt;0,'Tréso HT'!I27*$C28,"")</f>
        <v/>
      </c>
      <c r="J28" s="21" t="str">
        <f>IF('Tréso HT'!J27&lt;&gt;0,'Tréso HT'!J27*$C28,"")</f>
        <v/>
      </c>
      <c r="K28" s="21" t="str">
        <f>IF('Tréso HT'!K27&lt;&gt;0,'Tréso HT'!K27*$C28,"")</f>
        <v/>
      </c>
      <c r="L28" s="21" t="str">
        <f>IF('Tréso HT'!L27&lt;&gt;0,'Tréso HT'!L27*$C28,"")</f>
        <v/>
      </c>
      <c r="M28" s="21" t="str">
        <f>IF('Tréso HT'!M27&lt;&gt;0,'Tréso HT'!M27*$C28,"")</f>
        <v/>
      </c>
      <c r="N28" s="21" t="str">
        <f>IF('Tréso HT'!N27&lt;&gt;0,'Tréso HT'!N27*$C28,"")</f>
        <v/>
      </c>
      <c r="O28" s="21" t="str">
        <f>IF('Tréso HT'!O27&lt;&gt;0,'Tréso HT'!O27*$C28,"")</f>
        <v/>
      </c>
      <c r="P28" s="21" t="str">
        <f>IF('Tréso HT'!P27&lt;&gt;0,'Tréso HT'!P27*$C28,"")</f>
        <v/>
      </c>
      <c r="Q28" s="21" t="str">
        <f>IF('Tréso HT'!Q27&lt;&gt;0,'Tréso HT'!Q27*$C28,"")</f>
        <v/>
      </c>
      <c r="R28" s="21" t="str">
        <f>IF('Tréso HT'!R27&lt;&gt;0,'Tréso HT'!R27*$C28,"")</f>
        <v/>
      </c>
      <c r="S28" s="21" t="str">
        <f>IF('Tréso HT'!S27&lt;&gt;0,'Tréso HT'!S27*$C28,"")</f>
        <v/>
      </c>
      <c r="T28" s="21" t="str">
        <f>IF('Tréso HT'!T27&lt;&gt;0,'Tréso HT'!T27*$C28,"")</f>
        <v/>
      </c>
      <c r="U28" s="21" t="str">
        <f>IF('Tréso HT'!U27&lt;&gt;0,'Tréso HT'!U27*$C28,"")</f>
        <v/>
      </c>
      <c r="V28" s="21" t="str">
        <f>IF('Tréso HT'!V27&lt;&gt;0,'Tréso HT'!V27*$C28,"")</f>
        <v/>
      </c>
      <c r="W28" s="21" t="str">
        <f>IF('Tréso HT'!W27&lt;&gt;0,'Tréso HT'!W27*$C28,"")</f>
        <v/>
      </c>
      <c r="X28" s="21">
        <f t="shared" si="8"/>
        <v>0</v>
      </c>
    </row>
    <row r="29" spans="1:24" ht="17.25" customHeight="1" x14ac:dyDescent="0.25">
      <c r="A29" s="257"/>
      <c r="B29" s="143" t="str">
        <f>IF('Tréso HT'!B28&lt;&gt;"",'Tréso HT'!B28,"")</f>
        <v>Analyse(vin, sol…) - œnologue - tiers vinif</v>
      </c>
      <c r="C29" s="51">
        <f>IF('Tréso HT'!C28&lt;&gt;"",IF('Tréso HT'!C28=20,1.2,IF('Tréso HT'!C28=10,1.1,IF('Tréso HT'!C28=5.5,1.055,1))),1)</f>
        <v>1.2</v>
      </c>
      <c r="D29" s="21" t="str">
        <f>IF('Tréso HT'!D28&lt;&gt;0,'Tréso HT'!D28*$C29,"")</f>
        <v/>
      </c>
      <c r="E29" s="21" t="str">
        <f>IF('Tréso HT'!E28&lt;&gt;0,'Tréso HT'!E28*$C29,"")</f>
        <v/>
      </c>
      <c r="F29" s="21" t="str">
        <f>IF('Tréso HT'!F28&lt;&gt;0,'Tréso HT'!F28*$C29,"")</f>
        <v/>
      </c>
      <c r="G29" s="21" t="str">
        <f>IF('Tréso HT'!G28&lt;&gt;0,'Tréso HT'!G28*$C29,"")</f>
        <v/>
      </c>
      <c r="H29" s="21" t="str">
        <f>IF('Tréso HT'!H28&lt;&gt;0,'Tréso HT'!H28*$C29,"")</f>
        <v/>
      </c>
      <c r="I29" s="21" t="str">
        <f>IF('Tréso HT'!I28&lt;&gt;0,'Tréso HT'!I28*$C29,"")</f>
        <v/>
      </c>
      <c r="J29" s="21" t="str">
        <f>IF('Tréso HT'!J28&lt;&gt;0,'Tréso HT'!J28*$C29,"")</f>
        <v/>
      </c>
      <c r="K29" s="21" t="str">
        <f>IF('Tréso HT'!K28&lt;&gt;0,'Tréso HT'!K28*$C29,"")</f>
        <v/>
      </c>
      <c r="L29" s="21" t="str">
        <f>IF('Tréso HT'!L28&lt;&gt;0,'Tréso HT'!L28*$C29,"")</f>
        <v/>
      </c>
      <c r="M29" s="21" t="str">
        <f>IF('Tréso HT'!M28&lt;&gt;0,'Tréso HT'!M28*$C29,"")</f>
        <v/>
      </c>
      <c r="N29" s="21" t="str">
        <f>IF('Tréso HT'!N28&lt;&gt;0,'Tréso HT'!N28*$C29,"")</f>
        <v/>
      </c>
      <c r="O29" s="21" t="str">
        <f>IF('Tréso HT'!O28&lt;&gt;0,'Tréso HT'!O28*$C29,"")</f>
        <v/>
      </c>
      <c r="P29" s="21" t="str">
        <f>IF('Tréso HT'!P28&lt;&gt;0,'Tréso HT'!P28*$C29,"")</f>
        <v/>
      </c>
      <c r="Q29" s="21" t="str">
        <f>IF('Tréso HT'!Q28&lt;&gt;0,'Tréso HT'!Q28*$C29,"")</f>
        <v/>
      </c>
      <c r="R29" s="21" t="str">
        <f>IF('Tréso HT'!R28&lt;&gt;0,'Tréso HT'!R28*$C29,"")</f>
        <v/>
      </c>
      <c r="S29" s="21" t="str">
        <f>IF('Tréso HT'!S28&lt;&gt;0,'Tréso HT'!S28*$C29,"")</f>
        <v/>
      </c>
      <c r="T29" s="21" t="str">
        <f>IF('Tréso HT'!T28&lt;&gt;0,'Tréso HT'!T28*$C29,"")</f>
        <v/>
      </c>
      <c r="U29" s="21" t="str">
        <f>IF('Tréso HT'!U28&lt;&gt;0,'Tréso HT'!U28*$C29,"")</f>
        <v/>
      </c>
      <c r="V29" s="21" t="str">
        <f>IF('Tréso HT'!V28&lt;&gt;0,'Tréso HT'!V28*$C29,"")</f>
        <v/>
      </c>
      <c r="W29" s="21" t="str">
        <f>IF('Tréso HT'!W28&lt;&gt;0,'Tréso HT'!W28*$C29,"")</f>
        <v/>
      </c>
      <c r="X29" s="21">
        <f t="shared" si="8"/>
        <v>0</v>
      </c>
    </row>
    <row r="30" spans="1:24" ht="17.25" customHeight="1" x14ac:dyDescent="0.25">
      <c r="A30" s="257"/>
      <c r="B30" s="143" t="str">
        <f>IF('Tréso HT'!B29&lt;&gt;"",'Tréso HT'!B29,"")</f>
        <v>Carburants</v>
      </c>
      <c r="C30" s="51">
        <f>IF('Tréso HT'!C29&lt;&gt;"",IF('Tréso HT'!C29=20,1.2,IF('Tréso HT'!C29=10,1.1,IF('Tréso HT'!C29=5.5,1.055,1))),1)</f>
        <v>1.2</v>
      </c>
      <c r="D30" s="21" t="str">
        <f>IF('Tréso HT'!D29&lt;&gt;0,'Tréso HT'!D29*$C30,"")</f>
        <v/>
      </c>
      <c r="E30" s="21" t="str">
        <f>IF('Tréso HT'!E29&lt;&gt;0,'Tréso HT'!E29*$C30,"")</f>
        <v/>
      </c>
      <c r="F30" s="21" t="str">
        <f>IF('Tréso HT'!F29&lt;&gt;0,'Tréso HT'!F29*$C30,"")</f>
        <v/>
      </c>
      <c r="G30" s="21" t="str">
        <f>IF('Tréso HT'!G29&lt;&gt;0,'Tréso HT'!G29*$C30,"")</f>
        <v/>
      </c>
      <c r="H30" s="21" t="str">
        <f>IF('Tréso HT'!H29&lt;&gt;0,'Tréso HT'!H29*$C30,"")</f>
        <v/>
      </c>
      <c r="I30" s="21" t="str">
        <f>IF('Tréso HT'!I29&lt;&gt;0,'Tréso HT'!I29*$C30,"")</f>
        <v/>
      </c>
      <c r="J30" s="21" t="str">
        <f>IF('Tréso HT'!J29&lt;&gt;0,'Tréso HT'!J29*$C30,"")</f>
        <v/>
      </c>
      <c r="K30" s="21" t="str">
        <f>IF('Tréso HT'!K29&lt;&gt;0,'Tréso HT'!K29*$C30,"")</f>
        <v/>
      </c>
      <c r="L30" s="21" t="str">
        <f>IF('Tréso HT'!L29&lt;&gt;0,'Tréso HT'!L29*$C30,"")</f>
        <v/>
      </c>
      <c r="M30" s="21" t="str">
        <f>IF('Tréso HT'!M29&lt;&gt;0,'Tréso HT'!M29*$C30,"")</f>
        <v/>
      </c>
      <c r="N30" s="21" t="str">
        <f>IF('Tréso HT'!N29&lt;&gt;0,'Tréso HT'!N29*$C30,"")</f>
        <v/>
      </c>
      <c r="O30" s="21" t="str">
        <f>IF('Tréso HT'!O29&lt;&gt;0,'Tréso HT'!O29*$C30,"")</f>
        <v/>
      </c>
      <c r="P30" s="21" t="str">
        <f>IF('Tréso HT'!P29&lt;&gt;0,'Tréso HT'!P29*$C30,"")</f>
        <v/>
      </c>
      <c r="Q30" s="21" t="str">
        <f>IF('Tréso HT'!Q29&lt;&gt;0,'Tréso HT'!Q29*$C30,"")</f>
        <v/>
      </c>
      <c r="R30" s="21" t="str">
        <f>IF('Tréso HT'!R29&lt;&gt;0,'Tréso HT'!R29*$C30,"")</f>
        <v/>
      </c>
      <c r="S30" s="21" t="str">
        <f>IF('Tréso HT'!S29&lt;&gt;0,'Tréso HT'!S29*$C30,"")</f>
        <v/>
      </c>
      <c r="T30" s="21" t="str">
        <f>IF('Tréso HT'!T29&lt;&gt;0,'Tréso HT'!T29*$C30,"")</f>
        <v/>
      </c>
      <c r="U30" s="21" t="str">
        <f>IF('Tréso HT'!U29&lt;&gt;0,'Tréso HT'!U29*$C30,"")</f>
        <v/>
      </c>
      <c r="V30" s="21" t="str">
        <f>IF('Tréso HT'!V29&lt;&gt;0,'Tréso HT'!V29*$C30,"")</f>
        <v/>
      </c>
      <c r="W30" s="21" t="str">
        <f>IF('Tréso HT'!W29&lt;&gt;0,'Tréso HT'!W29*$C30,"")</f>
        <v/>
      </c>
      <c r="X30" s="21">
        <f t="shared" si="8"/>
        <v>0</v>
      </c>
    </row>
    <row r="31" spans="1:24" ht="17.25" customHeight="1" x14ac:dyDescent="0.25">
      <c r="A31" s="257"/>
      <c r="B31" s="143" t="str">
        <f>IF('Tréso HT'!B30&lt;&gt;"",'Tréso HT'!B30,"")</f>
        <v>Eau+EDF</v>
      </c>
      <c r="C31" s="51">
        <f>IF('Tréso HT'!C30&lt;&gt;"",IF('Tréso HT'!C30=20,1.2,IF('Tréso HT'!C30=10,1.1,IF('Tréso HT'!C30=5.5,1.055,1))),1)</f>
        <v>1.0549999999999999</v>
      </c>
      <c r="D31" s="21" t="str">
        <f>IF('Tréso HT'!D30&lt;&gt;0,'Tréso HT'!D30*$C31,"")</f>
        <v/>
      </c>
      <c r="E31" s="21" t="str">
        <f>IF('Tréso HT'!E30&lt;&gt;0,'Tréso HT'!E30*$C31,"")</f>
        <v/>
      </c>
      <c r="F31" s="21" t="str">
        <f>IF('Tréso HT'!F30&lt;&gt;0,'Tréso HT'!F30*$C31,"")</f>
        <v/>
      </c>
      <c r="G31" s="21" t="str">
        <f>IF('Tréso HT'!G30&lt;&gt;0,'Tréso HT'!G30*$C31,"")</f>
        <v/>
      </c>
      <c r="H31" s="21" t="str">
        <f>IF('Tréso HT'!H30&lt;&gt;0,'Tréso HT'!H30*$C31,"")</f>
        <v/>
      </c>
      <c r="I31" s="21" t="str">
        <f>IF('Tréso HT'!I30&lt;&gt;0,'Tréso HT'!I30*$C31,"")</f>
        <v/>
      </c>
      <c r="J31" s="21" t="str">
        <f>IF('Tréso HT'!J30&lt;&gt;0,'Tréso HT'!J30*$C31,"")</f>
        <v/>
      </c>
      <c r="K31" s="21" t="str">
        <f>IF('Tréso HT'!K30&lt;&gt;0,'Tréso HT'!K30*$C31,"")</f>
        <v/>
      </c>
      <c r="L31" s="21" t="str">
        <f>IF('Tréso HT'!L30&lt;&gt;0,'Tréso HT'!L30*$C31,"")</f>
        <v/>
      </c>
      <c r="M31" s="21" t="str">
        <f>IF('Tréso HT'!M30&lt;&gt;0,'Tréso HT'!M30*$C31,"")</f>
        <v/>
      </c>
      <c r="N31" s="21" t="str">
        <f>IF('Tréso HT'!N30&lt;&gt;0,'Tréso HT'!N30*$C31,"")</f>
        <v/>
      </c>
      <c r="O31" s="21" t="str">
        <f>IF('Tréso HT'!O30&lt;&gt;0,'Tréso HT'!O30*$C31,"")</f>
        <v/>
      </c>
      <c r="P31" s="21" t="str">
        <f>IF('Tréso HT'!P30&lt;&gt;0,'Tréso HT'!P30*$C31,"")</f>
        <v/>
      </c>
      <c r="Q31" s="21" t="str">
        <f>IF('Tréso HT'!Q30&lt;&gt;0,'Tréso HT'!Q30*$C31,"")</f>
        <v/>
      </c>
      <c r="R31" s="21" t="str">
        <f>IF('Tréso HT'!R30&lt;&gt;0,'Tréso HT'!R30*$C31,"")</f>
        <v/>
      </c>
      <c r="S31" s="21" t="str">
        <f>IF('Tréso HT'!S30&lt;&gt;0,'Tréso HT'!S30*$C31,"")</f>
        <v/>
      </c>
      <c r="T31" s="21" t="str">
        <f>IF('Tréso HT'!T30&lt;&gt;0,'Tréso HT'!T30*$C31,"")</f>
        <v/>
      </c>
      <c r="U31" s="21" t="str">
        <f>IF('Tréso HT'!U30&lt;&gt;0,'Tréso HT'!U30*$C31,"")</f>
        <v/>
      </c>
      <c r="V31" s="21" t="str">
        <f>IF('Tréso HT'!V30&lt;&gt;0,'Tréso HT'!V30*$C31,"")</f>
        <v/>
      </c>
      <c r="W31" s="21" t="str">
        <f>IF('Tréso HT'!W30&lt;&gt;0,'Tréso HT'!W30*$C31,"")</f>
        <v/>
      </c>
      <c r="X31" s="21">
        <f t="shared" si="8"/>
        <v>0</v>
      </c>
    </row>
    <row r="32" spans="1:24" ht="17.25" customHeight="1" x14ac:dyDescent="0.25">
      <c r="A32" s="257"/>
      <c r="B32" s="143" t="str">
        <f>IF('Tréso HT'!B31&lt;&gt;"",'Tréso HT'!B31,"")</f>
        <v>Fermage et location diverse</v>
      </c>
      <c r="C32" s="51">
        <f>IF('Tréso HT'!C31&lt;&gt;"",IF('Tréso HT'!C31=20,1.2,IF('Tréso HT'!C31=10,1.1,IF('Tréso HT'!C31=5.5,1.055,1))),1)</f>
        <v>1</v>
      </c>
      <c r="D32" s="21" t="str">
        <f>IF('Tréso HT'!D31&lt;&gt;0,'Tréso HT'!D31*$C32,"")</f>
        <v/>
      </c>
      <c r="E32" s="21" t="str">
        <f>IF('Tréso HT'!E31&lt;&gt;0,'Tréso HT'!E31*$C32,"")</f>
        <v/>
      </c>
      <c r="F32" s="21" t="str">
        <f>IF('Tréso HT'!F31&lt;&gt;0,'Tréso HT'!F31*$C32,"")</f>
        <v/>
      </c>
      <c r="G32" s="21" t="str">
        <f>IF('Tréso HT'!G31&lt;&gt;0,'Tréso HT'!G31*$C32,"")</f>
        <v/>
      </c>
      <c r="H32" s="21" t="str">
        <f>IF('Tréso HT'!H31&lt;&gt;0,'Tréso HT'!H31*$C32,"")</f>
        <v/>
      </c>
      <c r="I32" s="21" t="str">
        <f>IF('Tréso HT'!I31&lt;&gt;0,'Tréso HT'!I31*$C32,"")</f>
        <v/>
      </c>
      <c r="J32" s="21" t="str">
        <f>IF('Tréso HT'!J31&lt;&gt;0,'Tréso HT'!J31*$C32,"")</f>
        <v/>
      </c>
      <c r="K32" s="21" t="str">
        <f>IF('Tréso HT'!K31&lt;&gt;0,'Tréso HT'!K31*$C32,"")</f>
        <v/>
      </c>
      <c r="L32" s="21" t="str">
        <f>IF('Tréso HT'!L31&lt;&gt;0,'Tréso HT'!L31*$C32,"")</f>
        <v/>
      </c>
      <c r="M32" s="21" t="str">
        <f>IF('Tréso HT'!M31&lt;&gt;0,'Tréso HT'!M31*$C32,"")</f>
        <v/>
      </c>
      <c r="N32" s="21" t="str">
        <f>IF('Tréso HT'!N31&lt;&gt;0,'Tréso HT'!N31*$C32,"")</f>
        <v/>
      </c>
      <c r="O32" s="21" t="str">
        <f>IF('Tréso HT'!O31&lt;&gt;0,'Tréso HT'!O31*$C32,"")</f>
        <v/>
      </c>
      <c r="P32" s="21" t="str">
        <f>IF('Tréso HT'!P31&lt;&gt;0,'Tréso HT'!P31*$C32,"")</f>
        <v/>
      </c>
      <c r="Q32" s="21" t="str">
        <f>IF('Tréso HT'!Q31&lt;&gt;0,'Tréso HT'!Q31*$C32,"")</f>
        <v/>
      </c>
      <c r="R32" s="21" t="str">
        <f>IF('Tréso HT'!R31&lt;&gt;0,'Tréso HT'!R31*$C32,"")</f>
        <v/>
      </c>
      <c r="S32" s="21" t="str">
        <f>IF('Tréso HT'!S31&lt;&gt;0,'Tréso HT'!S31*$C32,"")</f>
        <v/>
      </c>
      <c r="T32" s="21" t="str">
        <f>IF('Tréso HT'!T31&lt;&gt;0,'Tréso HT'!T31*$C32,"")</f>
        <v/>
      </c>
      <c r="U32" s="21" t="str">
        <f>IF('Tréso HT'!U31&lt;&gt;0,'Tréso HT'!U31*$C32,"")</f>
        <v/>
      </c>
      <c r="V32" s="21" t="str">
        <f>IF('Tréso HT'!V31&lt;&gt;0,'Tréso HT'!V31*$C32,"")</f>
        <v/>
      </c>
      <c r="W32" s="21" t="str">
        <f>IF('Tréso HT'!W31&lt;&gt;0,'Tréso HT'!W31*$C32,"")</f>
        <v/>
      </c>
      <c r="X32" s="21">
        <f t="shared" si="8"/>
        <v>0</v>
      </c>
    </row>
    <row r="33" spans="1:24" ht="17.25" customHeight="1" x14ac:dyDescent="0.25">
      <c r="A33" s="257"/>
      <c r="B33" s="143" t="str">
        <f>IF('Tréso HT'!B32&lt;&gt;"",'Tréso HT'!B32,"")</f>
        <v>Entretien Matériels et outillages</v>
      </c>
      <c r="C33" s="51">
        <f>IF('Tréso HT'!C32&lt;&gt;"",IF('Tréso HT'!C32=20,1.2,IF('Tréso HT'!C32=10,1.1,IF('Tréso HT'!C32=5.5,1.055,1))),1)</f>
        <v>1.2</v>
      </c>
      <c r="D33" s="21" t="str">
        <f>IF('Tréso HT'!D32&lt;&gt;0,'Tréso HT'!D32*$C33,"")</f>
        <v/>
      </c>
      <c r="E33" s="21" t="str">
        <f>IF('Tréso HT'!E32&lt;&gt;0,'Tréso HT'!E32*$C33,"")</f>
        <v/>
      </c>
      <c r="F33" s="21" t="str">
        <f>IF('Tréso HT'!F32&lt;&gt;0,'Tréso HT'!F32*$C33,"")</f>
        <v/>
      </c>
      <c r="G33" s="21" t="str">
        <f>IF('Tréso HT'!G32&lt;&gt;0,'Tréso HT'!G32*$C33,"")</f>
        <v/>
      </c>
      <c r="H33" s="21" t="str">
        <f>IF('Tréso HT'!H32&lt;&gt;0,'Tréso HT'!H32*$C33,"")</f>
        <v/>
      </c>
      <c r="I33" s="21" t="str">
        <f>IF('Tréso HT'!I32&lt;&gt;0,'Tréso HT'!I32*$C33,"")</f>
        <v/>
      </c>
      <c r="J33" s="21" t="str">
        <f>IF('Tréso HT'!J32&lt;&gt;0,'Tréso HT'!J32*$C33,"")</f>
        <v/>
      </c>
      <c r="K33" s="21" t="str">
        <f>IF('Tréso HT'!K32&lt;&gt;0,'Tréso HT'!K32*$C33,"")</f>
        <v/>
      </c>
      <c r="L33" s="21" t="str">
        <f>IF('Tréso HT'!L32&lt;&gt;0,'Tréso HT'!L32*$C33,"")</f>
        <v/>
      </c>
      <c r="M33" s="21" t="str">
        <f>IF('Tréso HT'!M32&lt;&gt;0,'Tréso HT'!M32*$C33,"")</f>
        <v/>
      </c>
      <c r="N33" s="21" t="str">
        <f>IF('Tréso HT'!N32&lt;&gt;0,'Tréso HT'!N32*$C33,"")</f>
        <v/>
      </c>
      <c r="O33" s="21" t="str">
        <f>IF('Tréso HT'!O32&lt;&gt;0,'Tréso HT'!O32*$C33,"")</f>
        <v/>
      </c>
      <c r="P33" s="21" t="str">
        <f>IF('Tréso HT'!P32&lt;&gt;0,'Tréso HT'!P32*$C33,"")</f>
        <v/>
      </c>
      <c r="Q33" s="21" t="str">
        <f>IF('Tréso HT'!Q32&lt;&gt;0,'Tréso HT'!Q32*$C33,"")</f>
        <v/>
      </c>
      <c r="R33" s="21" t="str">
        <f>IF('Tréso HT'!R32&lt;&gt;0,'Tréso HT'!R32*$C33,"")</f>
        <v/>
      </c>
      <c r="S33" s="21" t="str">
        <f>IF('Tréso HT'!S32&lt;&gt;0,'Tréso HT'!S32*$C33,"")</f>
        <v/>
      </c>
      <c r="T33" s="21" t="str">
        <f>IF('Tréso HT'!T32&lt;&gt;0,'Tréso HT'!T32*$C33,"")</f>
        <v/>
      </c>
      <c r="U33" s="21" t="str">
        <f>IF('Tréso HT'!U32&lt;&gt;0,'Tréso HT'!U32*$C33,"")</f>
        <v/>
      </c>
      <c r="V33" s="21" t="str">
        <f>IF('Tréso HT'!V32&lt;&gt;0,'Tréso HT'!V32*$C33,"")</f>
        <v/>
      </c>
      <c r="W33" s="21" t="str">
        <f>IF('Tréso HT'!W32&lt;&gt;0,'Tréso HT'!W32*$C33,"")</f>
        <v/>
      </c>
      <c r="X33" s="21">
        <f t="shared" si="8"/>
        <v>0</v>
      </c>
    </row>
    <row r="34" spans="1:24" ht="17.25" customHeight="1" x14ac:dyDescent="0.25">
      <c r="A34" s="257"/>
      <c r="B34" s="143" t="str">
        <f>IF('Tréso HT'!B33&lt;&gt;"",'Tréso HT'!B33,"")</f>
        <v>Assurances</v>
      </c>
      <c r="C34" s="51">
        <f>IF('Tréso HT'!C33&lt;&gt;"",IF('Tréso HT'!C33=20,1.2,IF('Tréso HT'!C33=10,1.1,IF('Tréso HT'!C33=5.5,1.055,1))),1)</f>
        <v>1</v>
      </c>
      <c r="D34" s="21" t="str">
        <f>IF('Tréso HT'!D33&lt;&gt;0,'Tréso HT'!D33*$C34,"")</f>
        <v/>
      </c>
      <c r="E34" s="21" t="str">
        <f>IF('Tréso HT'!E33&lt;&gt;0,'Tréso HT'!E33*$C34,"")</f>
        <v/>
      </c>
      <c r="F34" s="21" t="str">
        <f>IF('Tréso HT'!F33&lt;&gt;0,'Tréso HT'!F33*$C34,"")</f>
        <v/>
      </c>
      <c r="G34" s="21" t="str">
        <f>IF('Tréso HT'!G33&lt;&gt;0,'Tréso HT'!G33*$C34,"")</f>
        <v/>
      </c>
      <c r="H34" s="21" t="str">
        <f>IF('Tréso HT'!H33&lt;&gt;0,'Tréso HT'!H33*$C34,"")</f>
        <v/>
      </c>
      <c r="I34" s="21" t="str">
        <f>IF('Tréso HT'!I33&lt;&gt;0,'Tréso HT'!I33*$C34,"")</f>
        <v/>
      </c>
      <c r="J34" s="21" t="str">
        <f>IF('Tréso HT'!J33&lt;&gt;0,'Tréso HT'!J33*$C34,"")</f>
        <v/>
      </c>
      <c r="K34" s="21" t="str">
        <f>IF('Tréso HT'!K33&lt;&gt;0,'Tréso HT'!K33*$C34,"")</f>
        <v/>
      </c>
      <c r="L34" s="21" t="str">
        <f>IF('Tréso HT'!L33&lt;&gt;0,'Tréso HT'!L33*$C34,"")</f>
        <v/>
      </c>
      <c r="M34" s="21" t="str">
        <f>IF('Tréso HT'!M33&lt;&gt;0,'Tréso HT'!M33*$C34,"")</f>
        <v/>
      </c>
      <c r="N34" s="21" t="str">
        <f>IF('Tréso HT'!N33&lt;&gt;0,'Tréso HT'!N33*$C34,"")</f>
        <v/>
      </c>
      <c r="O34" s="21" t="str">
        <f>IF('Tréso HT'!O33&lt;&gt;0,'Tréso HT'!O33*$C34,"")</f>
        <v/>
      </c>
      <c r="P34" s="21" t="str">
        <f>IF('Tréso HT'!P33&lt;&gt;0,'Tréso HT'!P33*$C34,"")</f>
        <v/>
      </c>
      <c r="Q34" s="21" t="str">
        <f>IF('Tréso HT'!Q33&lt;&gt;0,'Tréso HT'!Q33*$C34,"")</f>
        <v/>
      </c>
      <c r="R34" s="21" t="str">
        <f>IF('Tréso HT'!R33&lt;&gt;0,'Tréso HT'!R33*$C34,"")</f>
        <v/>
      </c>
      <c r="S34" s="21" t="str">
        <f>IF('Tréso HT'!S33&lt;&gt;0,'Tréso HT'!S33*$C34,"")</f>
        <v/>
      </c>
      <c r="T34" s="21" t="str">
        <f>IF('Tréso HT'!T33&lt;&gt;0,'Tréso HT'!T33*$C34,"")</f>
        <v/>
      </c>
      <c r="U34" s="21" t="str">
        <f>IF('Tréso HT'!U33&lt;&gt;0,'Tréso HT'!U33*$C34,"")</f>
        <v/>
      </c>
      <c r="V34" s="21" t="str">
        <f>IF('Tréso HT'!V33&lt;&gt;0,'Tréso HT'!V33*$C34,"")</f>
        <v/>
      </c>
      <c r="W34" s="21" t="str">
        <f>IF('Tréso HT'!W33&lt;&gt;0,'Tréso HT'!W33*$C34,"")</f>
        <v/>
      </c>
      <c r="X34" s="21">
        <f t="shared" si="8"/>
        <v>0</v>
      </c>
    </row>
    <row r="35" spans="1:24" ht="17.25" customHeight="1" x14ac:dyDescent="0.25">
      <c r="A35" s="257"/>
      <c r="B35" s="143" t="str">
        <f>IF('Tréso HT'!B34&lt;&gt;"",'Tréso HT'!B34,"")</f>
        <v>Abonnement (tél, …)</v>
      </c>
      <c r="C35" s="51">
        <f>IF('Tréso HT'!C34&lt;&gt;"",IF('Tréso HT'!C34=20,1.2,IF('Tréso HT'!C34=10,1.1,IF('Tréso HT'!C34=5.5,1.055,1))),1)</f>
        <v>1.2</v>
      </c>
      <c r="D35" s="21" t="str">
        <f>IF('Tréso HT'!D34&lt;&gt;0,'Tréso HT'!D34*$C35,"")</f>
        <v/>
      </c>
      <c r="E35" s="21" t="str">
        <f>IF('Tréso HT'!E34&lt;&gt;0,'Tréso HT'!E34*$C35,"")</f>
        <v/>
      </c>
      <c r="F35" s="21" t="str">
        <f>IF('Tréso HT'!F34&lt;&gt;0,'Tréso HT'!F34*$C35,"")</f>
        <v/>
      </c>
      <c r="G35" s="21" t="str">
        <f>IF('Tréso HT'!G34&lt;&gt;0,'Tréso HT'!G34*$C35,"")</f>
        <v/>
      </c>
      <c r="H35" s="21" t="str">
        <f>IF('Tréso HT'!H34&lt;&gt;0,'Tréso HT'!H34*$C35,"")</f>
        <v/>
      </c>
      <c r="I35" s="21" t="str">
        <f>IF('Tréso HT'!I34&lt;&gt;0,'Tréso HT'!I34*$C35,"")</f>
        <v/>
      </c>
      <c r="J35" s="21" t="str">
        <f>IF('Tréso HT'!J34&lt;&gt;0,'Tréso HT'!J34*$C35,"")</f>
        <v/>
      </c>
      <c r="K35" s="21" t="str">
        <f>IF('Tréso HT'!K34&lt;&gt;0,'Tréso HT'!K34*$C35,"")</f>
        <v/>
      </c>
      <c r="L35" s="21" t="str">
        <f>IF('Tréso HT'!L34&lt;&gt;0,'Tréso HT'!L34*$C35,"")</f>
        <v/>
      </c>
      <c r="M35" s="21" t="str">
        <f>IF('Tréso HT'!M34&lt;&gt;0,'Tréso HT'!M34*$C35,"")</f>
        <v/>
      </c>
      <c r="N35" s="21" t="str">
        <f>IF('Tréso HT'!N34&lt;&gt;0,'Tréso HT'!N34*$C35,"")</f>
        <v/>
      </c>
      <c r="O35" s="21" t="str">
        <f>IF('Tréso HT'!O34&lt;&gt;0,'Tréso HT'!O34*$C35,"")</f>
        <v/>
      </c>
      <c r="P35" s="21" t="str">
        <f>IF('Tréso HT'!P34&lt;&gt;0,'Tréso HT'!P34*$C35,"")</f>
        <v/>
      </c>
      <c r="Q35" s="21" t="str">
        <f>IF('Tréso HT'!Q34&lt;&gt;0,'Tréso HT'!Q34*$C35,"")</f>
        <v/>
      </c>
      <c r="R35" s="21" t="str">
        <f>IF('Tréso HT'!R34&lt;&gt;0,'Tréso HT'!R34*$C35,"")</f>
        <v/>
      </c>
      <c r="S35" s="21" t="str">
        <f>IF('Tréso HT'!S34&lt;&gt;0,'Tréso HT'!S34*$C35,"")</f>
        <v/>
      </c>
      <c r="T35" s="21" t="str">
        <f>IF('Tréso HT'!T34&lt;&gt;0,'Tréso HT'!T34*$C35,"")</f>
        <v/>
      </c>
      <c r="U35" s="21" t="str">
        <f>IF('Tréso HT'!U34&lt;&gt;0,'Tréso HT'!U34*$C35,"")</f>
        <v/>
      </c>
      <c r="V35" s="21" t="str">
        <f>IF('Tréso HT'!V34&lt;&gt;0,'Tréso HT'!V34*$C35,"")</f>
        <v/>
      </c>
      <c r="W35" s="21" t="str">
        <f>IF('Tréso HT'!W34&lt;&gt;0,'Tréso HT'!W34*$C35,"")</f>
        <v/>
      </c>
      <c r="X35" s="21">
        <f t="shared" si="8"/>
        <v>0</v>
      </c>
    </row>
    <row r="36" spans="1:24" ht="17.25" customHeight="1" x14ac:dyDescent="0.25">
      <c r="A36" s="257"/>
      <c r="B36" s="143" t="str">
        <f>IF('Tréso HT'!B35&lt;&gt;"",'Tréso HT'!B35,"")</f>
        <v>Honoraire (compta…)</v>
      </c>
      <c r="C36" s="51">
        <f>IF('Tréso HT'!C35&lt;&gt;"",IF('Tréso HT'!C35=20,1.2,IF('Tréso HT'!C35=10,1.1,IF('Tréso HT'!C35=5.5,1.055,1))),1)</f>
        <v>1.2</v>
      </c>
      <c r="D36" s="21" t="str">
        <f>IF('Tréso HT'!D35&lt;&gt;0,'Tréso HT'!D35*$C36,"")</f>
        <v/>
      </c>
      <c r="E36" s="21" t="str">
        <f>IF('Tréso HT'!E35&lt;&gt;0,'Tréso HT'!E35*$C36,"")</f>
        <v/>
      </c>
      <c r="F36" s="21" t="str">
        <f>IF('Tréso HT'!F35&lt;&gt;0,'Tréso HT'!F35*$C36,"")</f>
        <v/>
      </c>
      <c r="G36" s="21" t="str">
        <f>IF('Tréso HT'!G35&lt;&gt;0,'Tréso HT'!G35*$C36,"")</f>
        <v/>
      </c>
      <c r="H36" s="21" t="str">
        <f>IF('Tréso HT'!H35&lt;&gt;0,'Tréso HT'!H35*$C36,"")</f>
        <v/>
      </c>
      <c r="I36" s="21" t="str">
        <f>IF('Tréso HT'!I35&lt;&gt;0,'Tréso HT'!I35*$C36,"")</f>
        <v/>
      </c>
      <c r="J36" s="21" t="str">
        <f>IF('Tréso HT'!J35&lt;&gt;0,'Tréso HT'!J35*$C36,"")</f>
        <v/>
      </c>
      <c r="K36" s="21" t="str">
        <f>IF('Tréso HT'!K35&lt;&gt;0,'Tréso HT'!K35*$C36,"")</f>
        <v/>
      </c>
      <c r="L36" s="21" t="str">
        <f>IF('Tréso HT'!L35&lt;&gt;0,'Tréso HT'!L35*$C36,"")</f>
        <v/>
      </c>
      <c r="M36" s="21" t="str">
        <f>IF('Tréso HT'!M35&lt;&gt;0,'Tréso HT'!M35*$C36,"")</f>
        <v/>
      </c>
      <c r="N36" s="21" t="str">
        <f>IF('Tréso HT'!N35&lt;&gt;0,'Tréso HT'!N35*$C36,"")</f>
        <v/>
      </c>
      <c r="O36" s="21" t="str">
        <f>IF('Tréso HT'!O35&lt;&gt;0,'Tréso HT'!O35*$C36,"")</f>
        <v/>
      </c>
      <c r="P36" s="21" t="str">
        <f>IF('Tréso HT'!P35&lt;&gt;0,'Tréso HT'!P35*$C36,"")</f>
        <v/>
      </c>
      <c r="Q36" s="21" t="str">
        <f>IF('Tréso HT'!Q35&lt;&gt;0,'Tréso HT'!Q35*$C36,"")</f>
        <v/>
      </c>
      <c r="R36" s="21" t="str">
        <f>IF('Tréso HT'!R35&lt;&gt;0,'Tréso HT'!R35*$C36,"")</f>
        <v/>
      </c>
      <c r="S36" s="21" t="str">
        <f>IF('Tréso HT'!S35&lt;&gt;0,'Tréso HT'!S35*$C36,"")</f>
        <v/>
      </c>
      <c r="T36" s="21" t="str">
        <f>IF('Tréso HT'!T35&lt;&gt;0,'Tréso HT'!T35*$C36,"")</f>
        <v/>
      </c>
      <c r="U36" s="21" t="str">
        <f>IF('Tréso HT'!U35&lt;&gt;0,'Tréso HT'!U35*$C36,"")</f>
        <v/>
      </c>
      <c r="V36" s="21" t="str">
        <f>IF('Tréso HT'!V35&lt;&gt;0,'Tréso HT'!V35*$C36,"")</f>
        <v/>
      </c>
      <c r="W36" s="21" t="str">
        <f>IF('Tréso HT'!W35&lt;&gt;0,'Tréso HT'!W35*$C36,"")</f>
        <v/>
      </c>
      <c r="X36" s="21">
        <f t="shared" si="8"/>
        <v>0</v>
      </c>
    </row>
    <row r="37" spans="1:24" ht="17.25" customHeight="1" x14ac:dyDescent="0.25">
      <c r="A37" s="257"/>
      <c r="B37" s="143" t="str">
        <f>IF('Tréso HT'!B36&lt;&gt;"",'Tréso HT'!B36,"")</f>
        <v>Divers gestion commercialisation</v>
      </c>
      <c r="C37" s="51">
        <f>IF('Tréso HT'!C36&lt;&gt;"",IF('Tréso HT'!C36=20,1.2,IF('Tréso HT'!C36=10,1.1,IF('Tréso HT'!C36=5.5,1.055,1))),1)</f>
        <v>1.2</v>
      </c>
      <c r="D37" s="21" t="str">
        <f>IF('Tréso HT'!D36&lt;&gt;0,'Tréso HT'!D36*$C37,"")</f>
        <v/>
      </c>
      <c r="E37" s="21" t="str">
        <f>IF('Tréso HT'!E36&lt;&gt;0,'Tréso HT'!E36*$C37,"")</f>
        <v/>
      </c>
      <c r="F37" s="21" t="str">
        <f>IF('Tréso HT'!F36&lt;&gt;0,'Tréso HT'!F36*$C37,"")</f>
        <v/>
      </c>
      <c r="G37" s="21" t="str">
        <f>IF('Tréso HT'!G36&lt;&gt;0,'Tréso HT'!G36*$C37,"")</f>
        <v/>
      </c>
      <c r="H37" s="21" t="str">
        <f>IF('Tréso HT'!H36&lt;&gt;0,'Tréso HT'!H36*$C37,"")</f>
        <v/>
      </c>
      <c r="I37" s="21" t="str">
        <f>IF('Tréso HT'!I36&lt;&gt;0,'Tréso HT'!I36*$C37,"")</f>
        <v/>
      </c>
      <c r="J37" s="21" t="str">
        <f>IF('Tréso HT'!J36&lt;&gt;0,'Tréso HT'!J36*$C37,"")</f>
        <v/>
      </c>
      <c r="K37" s="21" t="str">
        <f>IF('Tréso HT'!K36&lt;&gt;0,'Tréso HT'!K36*$C37,"")</f>
        <v/>
      </c>
      <c r="L37" s="21" t="str">
        <f>IF('Tréso HT'!L36&lt;&gt;0,'Tréso HT'!L36*$C37,"")</f>
        <v/>
      </c>
      <c r="M37" s="21" t="str">
        <f>IF('Tréso HT'!M36&lt;&gt;0,'Tréso HT'!M36*$C37,"")</f>
        <v/>
      </c>
      <c r="N37" s="21" t="str">
        <f>IF('Tréso HT'!N36&lt;&gt;0,'Tréso HT'!N36*$C37,"")</f>
        <v/>
      </c>
      <c r="O37" s="21" t="str">
        <f>IF('Tréso HT'!O36&lt;&gt;0,'Tréso HT'!O36*$C37,"")</f>
        <v/>
      </c>
      <c r="P37" s="21" t="str">
        <f>IF('Tréso HT'!P36&lt;&gt;0,'Tréso HT'!P36*$C37,"")</f>
        <v/>
      </c>
      <c r="Q37" s="21" t="str">
        <f>IF('Tréso HT'!Q36&lt;&gt;0,'Tréso HT'!Q36*$C37,"")</f>
        <v/>
      </c>
      <c r="R37" s="21" t="str">
        <f>IF('Tréso HT'!R36&lt;&gt;0,'Tréso HT'!R36*$C37,"")</f>
        <v/>
      </c>
      <c r="S37" s="21" t="str">
        <f>IF('Tréso HT'!S36&lt;&gt;0,'Tréso HT'!S36*$C37,"")</f>
        <v/>
      </c>
      <c r="T37" s="21" t="str">
        <f>IF('Tréso HT'!T36&lt;&gt;0,'Tréso HT'!T36*$C37,"")</f>
        <v/>
      </c>
      <c r="U37" s="21" t="str">
        <f>IF('Tréso HT'!U36&lt;&gt;0,'Tréso HT'!U36*$C37,"")</f>
        <v/>
      </c>
      <c r="V37" s="21" t="str">
        <f>IF('Tréso HT'!V36&lt;&gt;0,'Tréso HT'!V36*$C37,"")</f>
        <v/>
      </c>
      <c r="W37" s="21" t="str">
        <f>IF('Tréso HT'!W36&lt;&gt;0,'Tréso HT'!W36*$C37,"")</f>
        <v/>
      </c>
      <c r="X37" s="21">
        <f t="shared" si="8"/>
        <v>0</v>
      </c>
    </row>
    <row r="38" spans="1:24" ht="17.25" customHeight="1" x14ac:dyDescent="0.25">
      <c r="A38" s="257"/>
      <c r="B38" s="143" t="str">
        <f>IF('Tréso HT'!B37&lt;&gt;"",'Tréso HT'!B37,"")</f>
        <v>Fournitures divers</v>
      </c>
      <c r="C38" s="51">
        <f>IF('Tréso HT'!C37&lt;&gt;"",IF('Tréso HT'!C37=20,1.2,IF('Tréso HT'!C37=10,1.1,IF('Tréso HT'!C37=5.5,1.055,1))),1)</f>
        <v>1.2</v>
      </c>
      <c r="D38" s="21" t="str">
        <f>IF('Tréso HT'!D37&lt;&gt;0,'Tréso HT'!D37*$C38,"")</f>
        <v/>
      </c>
      <c r="E38" s="21" t="str">
        <f>IF('Tréso HT'!E37&lt;&gt;0,'Tréso HT'!E37*$C38,"")</f>
        <v/>
      </c>
      <c r="F38" s="21" t="str">
        <f>IF('Tréso HT'!F37&lt;&gt;0,'Tréso HT'!F37*$C38,"")</f>
        <v/>
      </c>
      <c r="G38" s="21" t="str">
        <f>IF('Tréso HT'!G37&lt;&gt;0,'Tréso HT'!G37*$C38,"")</f>
        <v/>
      </c>
      <c r="H38" s="21" t="str">
        <f>IF('Tréso HT'!H37&lt;&gt;0,'Tréso HT'!H37*$C38,"")</f>
        <v/>
      </c>
      <c r="I38" s="21" t="str">
        <f>IF('Tréso HT'!I37&lt;&gt;0,'Tréso HT'!I37*$C38,"")</f>
        <v/>
      </c>
      <c r="J38" s="21" t="str">
        <f>IF('Tréso HT'!J37&lt;&gt;0,'Tréso HT'!J37*$C38,"")</f>
        <v/>
      </c>
      <c r="K38" s="21" t="str">
        <f>IF('Tréso HT'!K37&lt;&gt;0,'Tréso HT'!K37*$C38,"")</f>
        <v/>
      </c>
      <c r="L38" s="21" t="str">
        <f>IF('Tréso HT'!L37&lt;&gt;0,'Tréso HT'!L37*$C38,"")</f>
        <v/>
      </c>
      <c r="M38" s="21" t="str">
        <f>IF('Tréso HT'!M37&lt;&gt;0,'Tréso HT'!M37*$C38,"")</f>
        <v/>
      </c>
      <c r="N38" s="21" t="str">
        <f>IF('Tréso HT'!N37&lt;&gt;0,'Tréso HT'!N37*$C38,"")</f>
        <v/>
      </c>
      <c r="O38" s="21" t="str">
        <f>IF('Tréso HT'!O37&lt;&gt;0,'Tréso HT'!O37*$C38,"")</f>
        <v/>
      </c>
      <c r="P38" s="21" t="str">
        <f>IF('Tréso HT'!P37&lt;&gt;0,'Tréso HT'!P37*$C38,"")</f>
        <v/>
      </c>
      <c r="Q38" s="21" t="str">
        <f>IF('Tréso HT'!Q37&lt;&gt;0,'Tréso HT'!Q37*$C38,"")</f>
        <v/>
      </c>
      <c r="R38" s="21" t="str">
        <f>IF('Tréso HT'!R37&lt;&gt;0,'Tréso HT'!R37*$C38,"")</f>
        <v/>
      </c>
      <c r="S38" s="21" t="str">
        <f>IF('Tréso HT'!S37&lt;&gt;0,'Tréso HT'!S37*$C38,"")</f>
        <v/>
      </c>
      <c r="T38" s="21" t="str">
        <f>IF('Tréso HT'!T37&lt;&gt;0,'Tréso HT'!T37*$C38,"")</f>
        <v/>
      </c>
      <c r="U38" s="21" t="str">
        <f>IF('Tréso HT'!U37&lt;&gt;0,'Tréso HT'!U37*$C38,"")</f>
        <v/>
      </c>
      <c r="V38" s="21" t="str">
        <f>IF('Tréso HT'!V37&lt;&gt;0,'Tréso HT'!V37*$C38,"")</f>
        <v/>
      </c>
      <c r="W38" s="21" t="str">
        <f>IF('Tréso HT'!W37&lt;&gt;0,'Tréso HT'!W37*$C38,"")</f>
        <v/>
      </c>
      <c r="X38" s="21">
        <f t="shared" si="8"/>
        <v>0</v>
      </c>
    </row>
    <row r="39" spans="1:24" ht="17.25" customHeight="1" x14ac:dyDescent="0.25">
      <c r="A39" s="257"/>
      <c r="B39" s="143" t="str">
        <f>IF('Tréso HT'!B38&lt;&gt;"",'Tréso HT'!B38,"")</f>
        <v>Impôts et taxes</v>
      </c>
      <c r="C39" s="51">
        <f>IF('Tréso HT'!C38&lt;&gt;"",IF('Tréso HT'!C38=20,1.2,IF('Tréso HT'!C38=10,1.1,IF('Tréso HT'!C38=5.5,1.055,1))),1)</f>
        <v>1</v>
      </c>
      <c r="D39" s="21" t="str">
        <f>IF('Tréso HT'!D38&lt;&gt;0,'Tréso HT'!D38*$C39,"")</f>
        <v/>
      </c>
      <c r="E39" s="21" t="str">
        <f>IF('Tréso HT'!E38&lt;&gt;0,'Tréso HT'!E38*$C39,"")</f>
        <v/>
      </c>
      <c r="F39" s="21" t="str">
        <f>IF('Tréso HT'!F38&lt;&gt;0,'Tréso HT'!F38*$C39,"")</f>
        <v/>
      </c>
      <c r="G39" s="21" t="str">
        <f>IF('Tréso HT'!G38&lt;&gt;0,'Tréso HT'!G38*$C39,"")</f>
        <v/>
      </c>
      <c r="H39" s="21" t="str">
        <f>IF('Tréso HT'!H38&lt;&gt;0,'Tréso HT'!H38*$C39,"")</f>
        <v/>
      </c>
      <c r="I39" s="21" t="str">
        <f>IF('Tréso HT'!I38&lt;&gt;0,'Tréso HT'!I38*$C39,"")</f>
        <v/>
      </c>
      <c r="J39" s="21" t="str">
        <f>IF('Tréso HT'!J38&lt;&gt;0,'Tréso HT'!J38*$C39,"")</f>
        <v/>
      </c>
      <c r="K39" s="21" t="str">
        <f>IF('Tréso HT'!K38&lt;&gt;0,'Tréso HT'!K38*$C39,"")</f>
        <v/>
      </c>
      <c r="L39" s="21" t="str">
        <f>IF('Tréso HT'!L38&lt;&gt;0,'Tréso HT'!L38*$C39,"")</f>
        <v/>
      </c>
      <c r="M39" s="21" t="str">
        <f>IF('Tréso HT'!M38&lt;&gt;0,'Tréso HT'!M38*$C39,"")</f>
        <v/>
      </c>
      <c r="N39" s="21" t="str">
        <f>IF('Tréso HT'!N38&lt;&gt;0,'Tréso HT'!N38*$C39,"")</f>
        <v/>
      </c>
      <c r="O39" s="21" t="str">
        <f>IF('Tréso HT'!O38&lt;&gt;0,'Tréso HT'!O38*$C39,"")</f>
        <v/>
      </c>
      <c r="P39" s="21" t="str">
        <f>IF('Tréso HT'!P38&lt;&gt;0,'Tréso HT'!P38*$C39,"")</f>
        <v/>
      </c>
      <c r="Q39" s="21" t="str">
        <f>IF('Tréso HT'!Q38&lt;&gt;0,'Tréso HT'!Q38*$C39,"")</f>
        <v/>
      </c>
      <c r="R39" s="21" t="str">
        <f>IF('Tréso HT'!R38&lt;&gt;0,'Tréso HT'!R38*$C39,"")</f>
        <v/>
      </c>
      <c r="S39" s="21" t="str">
        <f>IF('Tréso HT'!S38&lt;&gt;0,'Tréso HT'!S38*$C39,"")</f>
        <v/>
      </c>
      <c r="T39" s="21" t="str">
        <f>IF('Tréso HT'!T38&lt;&gt;0,'Tréso HT'!T38*$C39,"")</f>
        <v/>
      </c>
      <c r="U39" s="21" t="str">
        <f>IF('Tréso HT'!U38&lt;&gt;0,'Tréso HT'!U38*$C39,"")</f>
        <v/>
      </c>
      <c r="V39" s="21" t="str">
        <f>IF('Tréso HT'!V38&lt;&gt;0,'Tréso HT'!V38*$C39,"")</f>
        <v/>
      </c>
      <c r="W39" s="21" t="str">
        <f>IF('Tréso HT'!W38&lt;&gt;0,'Tréso HT'!W38*$C39,"")</f>
        <v/>
      </c>
      <c r="X39" s="21">
        <f t="shared" si="8"/>
        <v>0</v>
      </c>
    </row>
    <row r="40" spans="1:24" ht="17.25" customHeight="1" x14ac:dyDescent="0.25">
      <c r="A40" s="257"/>
      <c r="B40" s="143" t="str">
        <f>IF('Tréso HT'!B39&lt;&gt;"",'Tréso HT'!B39,"")</f>
        <v>Prestation / travaux par tiers</v>
      </c>
      <c r="C40" s="51">
        <f>IF('Tréso HT'!C39&lt;&gt;"",IF('Tréso HT'!C39=20,1.2,IF('Tréso HT'!C39=10,1.1,IF('Tréso HT'!C39=5.5,1.055,1))),1)</f>
        <v>1.2</v>
      </c>
      <c r="D40" s="21" t="str">
        <f>IF('Tréso HT'!D39&lt;&gt;0,'Tréso HT'!D39*$C40,"")</f>
        <v/>
      </c>
      <c r="E40" s="21" t="str">
        <f>IF('Tréso HT'!E39&lt;&gt;0,'Tréso HT'!E39*$C40,"")</f>
        <v/>
      </c>
      <c r="F40" s="21" t="str">
        <f>IF('Tréso HT'!F39&lt;&gt;0,'Tréso HT'!F39*$C40,"")</f>
        <v/>
      </c>
      <c r="G40" s="21" t="str">
        <f>IF('Tréso HT'!G39&lt;&gt;0,'Tréso HT'!G39*$C40,"")</f>
        <v/>
      </c>
      <c r="H40" s="21" t="str">
        <f>IF('Tréso HT'!H39&lt;&gt;0,'Tréso HT'!H39*$C40,"")</f>
        <v/>
      </c>
      <c r="I40" s="21" t="str">
        <f>IF('Tréso HT'!I39&lt;&gt;0,'Tréso HT'!I39*$C40,"")</f>
        <v/>
      </c>
      <c r="J40" s="21" t="str">
        <f>IF('Tréso HT'!J39&lt;&gt;0,'Tréso HT'!J39*$C40,"")</f>
        <v/>
      </c>
      <c r="K40" s="21" t="str">
        <f>IF('Tréso HT'!K39&lt;&gt;0,'Tréso HT'!K39*$C40,"")</f>
        <v/>
      </c>
      <c r="L40" s="21" t="str">
        <f>IF('Tréso HT'!L39&lt;&gt;0,'Tréso HT'!L39*$C40,"")</f>
        <v/>
      </c>
      <c r="M40" s="21" t="str">
        <f>IF('Tréso HT'!M39&lt;&gt;0,'Tréso HT'!M39*$C40,"")</f>
        <v/>
      </c>
      <c r="N40" s="21" t="str">
        <f>IF('Tréso HT'!N39&lt;&gt;0,'Tréso HT'!N39*$C40,"")</f>
        <v/>
      </c>
      <c r="O40" s="21" t="str">
        <f>IF('Tréso HT'!O39&lt;&gt;0,'Tréso HT'!O39*$C40,"")</f>
        <v/>
      </c>
      <c r="P40" s="21" t="str">
        <f>IF('Tréso HT'!P39&lt;&gt;0,'Tréso HT'!P39*$C40,"")</f>
        <v/>
      </c>
      <c r="Q40" s="21" t="str">
        <f>IF('Tréso HT'!Q39&lt;&gt;0,'Tréso HT'!Q39*$C40,"")</f>
        <v/>
      </c>
      <c r="R40" s="21" t="str">
        <f>IF('Tréso HT'!R39&lt;&gt;0,'Tréso HT'!R39*$C40,"")</f>
        <v/>
      </c>
      <c r="S40" s="21" t="str">
        <f>IF('Tréso HT'!S39&lt;&gt;0,'Tréso HT'!S39*$C40,"")</f>
        <v/>
      </c>
      <c r="T40" s="21" t="str">
        <f>IF('Tréso HT'!T39&lt;&gt;0,'Tréso HT'!T39*$C40,"")</f>
        <v/>
      </c>
      <c r="U40" s="21" t="str">
        <f>IF('Tréso HT'!U39&lt;&gt;0,'Tréso HT'!U39*$C40,"")</f>
        <v/>
      </c>
      <c r="V40" s="21" t="str">
        <f>IF('Tréso HT'!V39&lt;&gt;0,'Tréso HT'!V39*$C40,"")</f>
        <v/>
      </c>
      <c r="W40" s="21" t="str">
        <f>IF('Tréso HT'!W39&lt;&gt;0,'Tréso HT'!W39*$C40,"")</f>
        <v/>
      </c>
      <c r="X40" s="21">
        <f t="shared" ref="X39:X53" si="9">SUM(D40:W40)</f>
        <v>0</v>
      </c>
    </row>
    <row r="41" spans="1:24" ht="17.25" customHeight="1" x14ac:dyDescent="0.25">
      <c r="A41" s="257"/>
      <c r="B41" s="143" t="str">
        <f>IF('Tréso HT'!B40&lt;&gt;"",'Tréso HT'!B40,"")</f>
        <v>Salaires permanent et saisonniers</v>
      </c>
      <c r="C41" s="51">
        <f>IF('Tréso HT'!C40&lt;&gt;"",IF('Tréso HT'!C40=20,1.2,IF('Tréso HT'!C40=10,1.1,IF('Tréso HT'!C40=5.5,1.055,1))),1)</f>
        <v>1</v>
      </c>
      <c r="D41" s="21" t="str">
        <f>IF('Tréso HT'!D40&lt;&gt;0,'Tréso HT'!D40*$C41,"")</f>
        <v/>
      </c>
      <c r="E41" s="21" t="str">
        <f>IF('Tréso HT'!E40&lt;&gt;0,'Tréso HT'!E40*$C41,"")</f>
        <v/>
      </c>
      <c r="F41" s="21" t="str">
        <f>IF('Tréso HT'!F40&lt;&gt;0,'Tréso HT'!F40*$C41,"")</f>
        <v/>
      </c>
      <c r="G41" s="21" t="str">
        <f>IF('Tréso HT'!G40&lt;&gt;0,'Tréso HT'!G40*$C41,"")</f>
        <v/>
      </c>
      <c r="H41" s="21" t="str">
        <f>IF('Tréso HT'!H40&lt;&gt;0,'Tréso HT'!H40*$C41,"")</f>
        <v/>
      </c>
      <c r="I41" s="21" t="str">
        <f>IF('Tréso HT'!I40&lt;&gt;0,'Tréso HT'!I40*$C41,"")</f>
        <v/>
      </c>
      <c r="J41" s="21" t="str">
        <f>IF('Tréso HT'!J40&lt;&gt;0,'Tréso HT'!J40*$C41,"")</f>
        <v/>
      </c>
      <c r="K41" s="21" t="str">
        <f>IF('Tréso HT'!K40&lt;&gt;0,'Tréso HT'!K40*$C41,"")</f>
        <v/>
      </c>
      <c r="L41" s="21" t="str">
        <f>IF('Tréso HT'!L40&lt;&gt;0,'Tréso HT'!L40*$C41,"")</f>
        <v/>
      </c>
      <c r="M41" s="21" t="str">
        <f>IF('Tréso HT'!M40&lt;&gt;0,'Tréso HT'!M40*$C41,"")</f>
        <v/>
      </c>
      <c r="N41" s="21" t="str">
        <f>IF('Tréso HT'!N40&lt;&gt;0,'Tréso HT'!N40*$C41,"")</f>
        <v/>
      </c>
      <c r="O41" s="21" t="str">
        <f>IF('Tréso HT'!O40&lt;&gt;0,'Tréso HT'!O40*$C41,"")</f>
        <v/>
      </c>
      <c r="P41" s="21" t="str">
        <f>IF('Tréso HT'!P40&lt;&gt;0,'Tréso HT'!P40*$C41,"")</f>
        <v/>
      </c>
      <c r="Q41" s="21" t="str">
        <f>IF('Tréso HT'!Q40&lt;&gt;0,'Tréso HT'!Q40*$C41,"")</f>
        <v/>
      </c>
      <c r="R41" s="21" t="str">
        <f>IF('Tréso HT'!R40&lt;&gt;0,'Tréso HT'!R40*$C41,"")</f>
        <v/>
      </c>
      <c r="S41" s="21" t="str">
        <f>IF('Tréso HT'!S40&lt;&gt;0,'Tréso HT'!S40*$C41,"")</f>
        <v/>
      </c>
      <c r="T41" s="21" t="str">
        <f>IF('Tréso HT'!T40&lt;&gt;0,'Tréso HT'!T40*$C41,"")</f>
        <v/>
      </c>
      <c r="U41" s="21" t="str">
        <f>IF('Tréso HT'!U40&lt;&gt;0,'Tréso HT'!U40*$C41,"")</f>
        <v/>
      </c>
      <c r="V41" s="21" t="str">
        <f>IF('Tréso HT'!V40&lt;&gt;0,'Tréso HT'!V40*$C41,"")</f>
        <v/>
      </c>
      <c r="W41" s="21" t="str">
        <f>IF('Tréso HT'!W40&lt;&gt;0,'Tréso HT'!W40*$C41,"")</f>
        <v/>
      </c>
      <c r="X41" s="21">
        <f t="shared" si="9"/>
        <v>0</v>
      </c>
    </row>
    <row r="42" spans="1:24" ht="17.25" customHeight="1" x14ac:dyDescent="0.25">
      <c r="A42" s="257"/>
      <c r="B42" s="143" t="str">
        <f>IF('Tréso HT'!B41&lt;&gt;"",'Tréso HT'!B41,"")</f>
        <v>Charges MSA</v>
      </c>
      <c r="C42" s="51">
        <f>IF('Tréso HT'!C41&lt;&gt;"",IF('Tréso HT'!C41=20,1.2,IF('Tréso HT'!C41=10,1.1,IF('Tréso HT'!C41=5.5,1.055,1))),1)</f>
        <v>1</v>
      </c>
      <c r="D42" s="21" t="str">
        <f>IF('Tréso HT'!D41&lt;&gt;0,'Tréso HT'!D41*$C42,"")</f>
        <v/>
      </c>
      <c r="E42" s="21" t="str">
        <f>IF('Tréso HT'!E41&lt;&gt;0,'Tréso HT'!E41*$C42,"")</f>
        <v/>
      </c>
      <c r="F42" s="21" t="str">
        <f>IF('Tréso HT'!F41&lt;&gt;0,'Tréso HT'!F41*$C42,"")</f>
        <v/>
      </c>
      <c r="G42" s="21" t="str">
        <f>IF('Tréso HT'!G41&lt;&gt;0,'Tréso HT'!G41*$C42,"")</f>
        <v/>
      </c>
      <c r="H42" s="21" t="str">
        <f>IF('Tréso HT'!H41&lt;&gt;0,'Tréso HT'!H41*$C42,"")</f>
        <v/>
      </c>
      <c r="I42" s="21" t="str">
        <f>IF('Tréso HT'!I41&lt;&gt;0,'Tréso HT'!I41*$C42,"")</f>
        <v/>
      </c>
      <c r="J42" s="21" t="str">
        <f>IF('Tréso HT'!J41&lt;&gt;0,'Tréso HT'!J41*$C42,"")</f>
        <v/>
      </c>
      <c r="K42" s="21" t="str">
        <f>IF('Tréso HT'!K41&lt;&gt;0,'Tréso HT'!K41*$C42,"")</f>
        <v/>
      </c>
      <c r="L42" s="21" t="str">
        <f>IF('Tréso HT'!L41&lt;&gt;0,'Tréso HT'!L41*$C42,"")</f>
        <v/>
      </c>
      <c r="M42" s="21" t="str">
        <f>IF('Tréso HT'!M41&lt;&gt;0,'Tréso HT'!M41*$C42,"")</f>
        <v/>
      </c>
      <c r="N42" s="21" t="str">
        <f>IF('Tréso HT'!N41&lt;&gt;0,'Tréso HT'!N41*$C42,"")</f>
        <v/>
      </c>
      <c r="O42" s="21" t="str">
        <f>IF('Tréso HT'!O41&lt;&gt;0,'Tréso HT'!O41*$C42,"")</f>
        <v/>
      </c>
      <c r="P42" s="21" t="str">
        <f>IF('Tréso HT'!P41&lt;&gt;0,'Tréso HT'!P41*$C42,"")</f>
        <v/>
      </c>
      <c r="Q42" s="21" t="str">
        <f>IF('Tréso HT'!Q41&lt;&gt;0,'Tréso HT'!Q41*$C42,"")</f>
        <v/>
      </c>
      <c r="R42" s="21" t="str">
        <f>IF('Tréso HT'!R41&lt;&gt;0,'Tréso HT'!R41*$C42,"")</f>
        <v/>
      </c>
      <c r="S42" s="21" t="str">
        <f>IF('Tréso HT'!S41&lt;&gt;0,'Tréso HT'!S41*$C42,"")</f>
        <v/>
      </c>
      <c r="T42" s="21" t="str">
        <f>IF('Tréso HT'!T41&lt;&gt;0,'Tréso HT'!T41*$C42,"")</f>
        <v/>
      </c>
      <c r="U42" s="21" t="str">
        <f>IF('Tréso HT'!U41&lt;&gt;0,'Tréso HT'!U41*$C42,"")</f>
        <v/>
      </c>
      <c r="V42" s="21" t="str">
        <f>IF('Tréso HT'!V41&lt;&gt;0,'Tréso HT'!V41*$C42,"")</f>
        <v/>
      </c>
      <c r="W42" s="21" t="str">
        <f>IF('Tréso HT'!W41&lt;&gt;0,'Tréso HT'!W41*$C42,"")</f>
        <v/>
      </c>
      <c r="X42" s="21">
        <f t="shared" si="9"/>
        <v>0</v>
      </c>
    </row>
    <row r="43" spans="1:24" ht="17.25" customHeight="1" x14ac:dyDescent="0.25">
      <c r="A43" s="257"/>
      <c r="B43" s="143" t="str">
        <f>IF('Tréso HT'!B42&lt;&gt;"",'Tréso HT'!B42,"")</f>
        <v/>
      </c>
      <c r="C43" s="51">
        <f>IF('Tréso HT'!C42&lt;&gt;"",IF('Tréso HT'!C42=20,1.2,IF('Tréso HT'!C42=10,1.1,IF('Tréso HT'!C42=5.5,1.055,1))),1)</f>
        <v>1</v>
      </c>
      <c r="D43" s="21" t="str">
        <f>IF('Tréso HT'!D42&lt;&gt;0,'Tréso HT'!D42*$C43,"")</f>
        <v/>
      </c>
      <c r="E43" s="21" t="str">
        <f>IF('Tréso HT'!E42&lt;&gt;0,'Tréso HT'!E42*$C43,"")</f>
        <v/>
      </c>
      <c r="F43" s="21" t="str">
        <f>IF('Tréso HT'!F42&lt;&gt;0,'Tréso HT'!F42*$C43,"")</f>
        <v/>
      </c>
      <c r="G43" s="21" t="str">
        <f>IF('Tréso HT'!G42&lt;&gt;0,'Tréso HT'!G42*$C43,"")</f>
        <v/>
      </c>
      <c r="H43" s="21" t="str">
        <f>IF('Tréso HT'!H42&lt;&gt;0,'Tréso HT'!H42*$C43,"")</f>
        <v/>
      </c>
      <c r="I43" s="21" t="str">
        <f>IF('Tréso HT'!I42&lt;&gt;0,'Tréso HT'!I42*$C43,"")</f>
        <v/>
      </c>
      <c r="J43" s="21" t="str">
        <f>IF('Tréso HT'!J42&lt;&gt;0,'Tréso HT'!J42*$C43,"")</f>
        <v/>
      </c>
      <c r="K43" s="21" t="str">
        <f>IF('Tréso HT'!K42&lt;&gt;0,'Tréso HT'!K42*$C43,"")</f>
        <v/>
      </c>
      <c r="L43" s="21" t="str">
        <f>IF('Tréso HT'!L42&lt;&gt;0,'Tréso HT'!L42*$C43,"")</f>
        <v/>
      </c>
      <c r="M43" s="21" t="str">
        <f>IF('Tréso HT'!M42&lt;&gt;0,'Tréso HT'!M42*$C43,"")</f>
        <v/>
      </c>
      <c r="N43" s="21" t="str">
        <f>IF('Tréso HT'!N42&lt;&gt;0,'Tréso HT'!N42*$C43,"")</f>
        <v/>
      </c>
      <c r="O43" s="21" t="str">
        <f>IF('Tréso HT'!O42&lt;&gt;0,'Tréso HT'!O42*$C43,"")</f>
        <v/>
      </c>
      <c r="P43" s="21" t="str">
        <f>IF('Tréso HT'!P42&lt;&gt;0,'Tréso HT'!P42*$C43,"")</f>
        <v/>
      </c>
      <c r="Q43" s="21" t="str">
        <f>IF('Tréso HT'!Q42&lt;&gt;0,'Tréso HT'!Q42*$C43,"")</f>
        <v/>
      </c>
      <c r="R43" s="21" t="str">
        <f>IF('Tréso HT'!R42&lt;&gt;0,'Tréso HT'!R42*$C43,"")</f>
        <v/>
      </c>
      <c r="S43" s="21" t="str">
        <f>IF('Tréso HT'!S42&lt;&gt;0,'Tréso HT'!S42*$C43,"")</f>
        <v/>
      </c>
      <c r="T43" s="21" t="str">
        <f>IF('Tréso HT'!T42&lt;&gt;0,'Tréso HT'!T42*$C43,"")</f>
        <v/>
      </c>
      <c r="U43" s="21" t="str">
        <f>IF('Tréso HT'!U42&lt;&gt;0,'Tréso HT'!U42*$C43,"")</f>
        <v/>
      </c>
      <c r="V43" s="21" t="str">
        <f>IF('Tréso HT'!V42&lt;&gt;0,'Tréso HT'!V42*$C43,"")</f>
        <v/>
      </c>
      <c r="W43" s="21" t="str">
        <f>IF('Tréso HT'!W42&lt;&gt;0,'Tréso HT'!W42*$C43,"")</f>
        <v/>
      </c>
      <c r="X43" s="21">
        <f t="shared" si="9"/>
        <v>0</v>
      </c>
    </row>
    <row r="44" spans="1:24" ht="17.25" customHeight="1" x14ac:dyDescent="0.25">
      <c r="A44" s="257"/>
      <c r="B44" s="143" t="str">
        <f>IF('Tréso HT'!B43&lt;&gt;"",'Tréso HT'!B43,"")</f>
        <v>Remboursements d'emprunts</v>
      </c>
      <c r="C44" s="51">
        <f>IF('Tréso HT'!C43&lt;&gt;"",IF('Tréso HT'!C43=20,1.2,IF('Tréso HT'!C43=10,1.1,IF('Tréso HT'!C43=5.5,1.055,1))),1)</f>
        <v>1</v>
      </c>
      <c r="D44" s="21" t="str">
        <f>IF('Tréso HT'!D43&lt;&gt;0,'Tréso HT'!D43*$C44,"")</f>
        <v/>
      </c>
      <c r="E44" s="21" t="str">
        <f>IF('Tréso HT'!E43&lt;&gt;0,'Tréso HT'!E43*$C44,"")</f>
        <v/>
      </c>
      <c r="F44" s="21" t="str">
        <f>IF('Tréso HT'!F43&lt;&gt;0,'Tréso HT'!F43*$C44,"")</f>
        <v/>
      </c>
      <c r="G44" s="21" t="str">
        <f>IF('Tréso HT'!G43&lt;&gt;0,'Tréso HT'!G43*$C44,"")</f>
        <v/>
      </c>
      <c r="H44" s="21" t="str">
        <f>IF('Tréso HT'!H43&lt;&gt;0,'Tréso HT'!H43*$C44,"")</f>
        <v/>
      </c>
      <c r="I44" s="21" t="str">
        <f>IF('Tréso HT'!I43&lt;&gt;0,'Tréso HT'!I43*$C44,"")</f>
        <v/>
      </c>
      <c r="J44" s="21" t="str">
        <f>IF('Tréso HT'!J43&lt;&gt;0,'Tréso HT'!J43*$C44,"")</f>
        <v/>
      </c>
      <c r="K44" s="21" t="str">
        <f>IF('Tréso HT'!K43&lt;&gt;0,'Tréso HT'!K43*$C44,"")</f>
        <v/>
      </c>
      <c r="L44" s="21" t="str">
        <f>IF('Tréso HT'!L43&lt;&gt;0,'Tréso HT'!L43*$C44,"")</f>
        <v/>
      </c>
      <c r="M44" s="21" t="str">
        <f>IF('Tréso HT'!M43&lt;&gt;0,'Tréso HT'!M43*$C44,"")</f>
        <v/>
      </c>
      <c r="N44" s="21" t="str">
        <f>IF('Tréso HT'!N43&lt;&gt;0,'Tréso HT'!N43*$C44,"")</f>
        <v/>
      </c>
      <c r="O44" s="21" t="str">
        <f>IF('Tréso HT'!O43&lt;&gt;0,'Tréso HT'!O43*$C44,"")</f>
        <v/>
      </c>
      <c r="P44" s="21" t="str">
        <f>IF('Tréso HT'!P43&lt;&gt;0,'Tréso HT'!P43*$C44,"")</f>
        <v/>
      </c>
      <c r="Q44" s="21" t="str">
        <f>IF('Tréso HT'!Q43&lt;&gt;0,'Tréso HT'!Q43*$C44,"")</f>
        <v/>
      </c>
      <c r="R44" s="21" t="str">
        <f>IF('Tréso HT'!R43&lt;&gt;0,'Tréso HT'!R43*$C44,"")</f>
        <v/>
      </c>
      <c r="S44" s="21" t="str">
        <f>IF('Tréso HT'!S43&lt;&gt;0,'Tréso HT'!S43*$C44,"")</f>
        <v/>
      </c>
      <c r="T44" s="21" t="str">
        <f>IF('Tréso HT'!T43&lt;&gt;0,'Tréso HT'!T43*$C44,"")</f>
        <v/>
      </c>
      <c r="U44" s="21" t="str">
        <f>IF('Tréso HT'!U43&lt;&gt;0,'Tréso HT'!U43*$C44,"")</f>
        <v/>
      </c>
      <c r="V44" s="21" t="str">
        <f>IF('Tréso HT'!V43&lt;&gt;0,'Tréso HT'!V43*$C44,"")</f>
        <v/>
      </c>
      <c r="W44" s="21" t="str">
        <f>IF('Tréso HT'!W43&lt;&gt;0,'Tréso HT'!W43*$C44,"")</f>
        <v/>
      </c>
      <c r="X44" s="21">
        <f t="shared" si="9"/>
        <v>0</v>
      </c>
    </row>
    <row r="45" spans="1:24" ht="17.25" customHeight="1" x14ac:dyDescent="0.25">
      <c r="A45" s="257"/>
      <c r="B45" s="143" t="str">
        <f>IF('Tréso HT'!B44&lt;&gt;"",'Tréso HT'!B44,"")</f>
        <v>Frais bancaires</v>
      </c>
      <c r="C45" s="51">
        <f>IF('Tréso HT'!C44&lt;&gt;"",IF('Tréso HT'!C44=20,1.2,IF('Tréso HT'!C44=10,1.1,IF('Tréso HT'!C44=5.5,1.055,1))),1)</f>
        <v>1</v>
      </c>
      <c r="D45" s="21" t="str">
        <f>IF('Tréso HT'!D44&lt;&gt;0,'Tréso HT'!D44*$C45,"")</f>
        <v/>
      </c>
      <c r="E45" s="21" t="str">
        <f>IF('Tréso HT'!E44&lt;&gt;0,'Tréso HT'!E44*$C45,"")</f>
        <v/>
      </c>
      <c r="F45" s="21" t="str">
        <f>IF('Tréso HT'!F44&lt;&gt;0,'Tréso HT'!F44*$C45,"")</f>
        <v/>
      </c>
      <c r="G45" s="21" t="str">
        <f>IF('Tréso HT'!G44&lt;&gt;0,'Tréso HT'!G44*$C45,"")</f>
        <v/>
      </c>
      <c r="H45" s="21" t="str">
        <f>IF('Tréso HT'!H44&lt;&gt;0,'Tréso HT'!H44*$C45,"")</f>
        <v/>
      </c>
      <c r="I45" s="21" t="str">
        <f>IF('Tréso HT'!I44&lt;&gt;0,'Tréso HT'!I44*$C45,"")</f>
        <v/>
      </c>
      <c r="J45" s="21" t="str">
        <f>IF('Tréso HT'!J44&lt;&gt;0,'Tréso HT'!J44*$C45,"")</f>
        <v/>
      </c>
      <c r="K45" s="21" t="str">
        <f>IF('Tréso HT'!K44&lt;&gt;0,'Tréso HT'!K44*$C45,"")</f>
        <v/>
      </c>
      <c r="L45" s="21" t="str">
        <f>IF('Tréso HT'!L44&lt;&gt;0,'Tréso HT'!L44*$C45,"")</f>
        <v/>
      </c>
      <c r="M45" s="21" t="str">
        <f>IF('Tréso HT'!M44&lt;&gt;0,'Tréso HT'!M44*$C45,"")</f>
        <v/>
      </c>
      <c r="N45" s="21" t="str">
        <f>IF('Tréso HT'!N44&lt;&gt;0,'Tréso HT'!N44*$C45,"")</f>
        <v/>
      </c>
      <c r="O45" s="21" t="str">
        <f>IF('Tréso HT'!O44&lt;&gt;0,'Tréso HT'!O44*$C45,"")</f>
        <v/>
      </c>
      <c r="P45" s="21" t="str">
        <f>IF('Tréso HT'!P44&lt;&gt;0,'Tréso HT'!P44*$C45,"")</f>
        <v/>
      </c>
      <c r="Q45" s="21" t="str">
        <f>IF('Tréso HT'!Q44&lt;&gt;0,'Tréso HT'!Q44*$C45,"")</f>
        <v/>
      </c>
      <c r="R45" s="21" t="str">
        <f>IF('Tréso HT'!R44&lt;&gt;0,'Tréso HT'!R44*$C45,"")</f>
        <v/>
      </c>
      <c r="S45" s="21" t="str">
        <f>IF('Tréso HT'!S44&lt;&gt;0,'Tréso HT'!S44*$C45,"")</f>
        <v/>
      </c>
      <c r="T45" s="21" t="str">
        <f>IF('Tréso HT'!T44&lt;&gt;0,'Tréso HT'!T44*$C45,"")</f>
        <v/>
      </c>
      <c r="U45" s="21" t="str">
        <f>IF('Tréso HT'!U44&lt;&gt;0,'Tréso HT'!U44*$C45,"")</f>
        <v/>
      </c>
      <c r="V45" s="21" t="str">
        <f>IF('Tréso HT'!V44&lt;&gt;0,'Tréso HT'!V44*$C45,"")</f>
        <v/>
      </c>
      <c r="W45" s="21" t="str">
        <f>IF('Tréso HT'!W44&lt;&gt;0,'Tréso HT'!W44*$C45,"")</f>
        <v/>
      </c>
      <c r="X45" s="21">
        <f t="shared" si="9"/>
        <v>0</v>
      </c>
    </row>
    <row r="46" spans="1:24" ht="17.25" customHeight="1" x14ac:dyDescent="0.25">
      <c r="A46" s="257"/>
      <c r="B46" s="143" t="str">
        <f>IF('Tréso HT'!B45&lt;&gt;"",'Tréso HT'!B45,"")</f>
        <v/>
      </c>
      <c r="C46" s="51">
        <f>IF('Tréso HT'!C45&lt;&gt;"",IF('Tréso HT'!C45=20,1.2,IF('Tréso HT'!C45=10,1.1,IF('Tréso HT'!C45=5.5,1.055,1))),1)</f>
        <v>1</v>
      </c>
      <c r="D46" s="21" t="str">
        <f>IF('Tréso HT'!D45&lt;&gt;0,'Tréso HT'!D45*$C46,"")</f>
        <v/>
      </c>
      <c r="E46" s="21" t="str">
        <f>IF('Tréso HT'!E45&lt;&gt;0,'Tréso HT'!E45*$C46,"")</f>
        <v/>
      </c>
      <c r="F46" s="21" t="str">
        <f>IF('Tréso HT'!F45&lt;&gt;0,'Tréso HT'!F45*$C46,"")</f>
        <v/>
      </c>
      <c r="G46" s="21" t="str">
        <f>IF('Tréso HT'!G45&lt;&gt;0,'Tréso HT'!G45*$C46,"")</f>
        <v/>
      </c>
      <c r="H46" s="21" t="str">
        <f>IF('Tréso HT'!H45&lt;&gt;0,'Tréso HT'!H45*$C46,"")</f>
        <v/>
      </c>
      <c r="I46" s="21" t="str">
        <f>IF('Tréso HT'!I45&lt;&gt;0,'Tréso HT'!I45*$C46,"")</f>
        <v/>
      </c>
      <c r="J46" s="21" t="str">
        <f>IF('Tréso HT'!J45&lt;&gt;0,'Tréso HT'!J45*$C46,"")</f>
        <v/>
      </c>
      <c r="K46" s="21" t="str">
        <f>IF('Tréso HT'!K45&lt;&gt;0,'Tréso HT'!K45*$C46,"")</f>
        <v/>
      </c>
      <c r="L46" s="21" t="str">
        <f>IF('Tréso HT'!L45&lt;&gt;0,'Tréso HT'!L45*$C46,"")</f>
        <v/>
      </c>
      <c r="M46" s="21" t="str">
        <f>IF('Tréso HT'!M45&lt;&gt;0,'Tréso HT'!M45*$C46,"")</f>
        <v/>
      </c>
      <c r="N46" s="21" t="str">
        <f>IF('Tréso HT'!N45&lt;&gt;0,'Tréso HT'!N45*$C46,"")</f>
        <v/>
      </c>
      <c r="O46" s="21" t="str">
        <f>IF('Tréso HT'!O45&lt;&gt;0,'Tréso HT'!O45*$C46,"")</f>
        <v/>
      </c>
      <c r="P46" s="21" t="str">
        <f>IF('Tréso HT'!P45&lt;&gt;0,'Tréso HT'!P45*$C46,"")</f>
        <v/>
      </c>
      <c r="Q46" s="21" t="str">
        <f>IF('Tréso HT'!Q45&lt;&gt;0,'Tréso HT'!Q45*$C46,"")</f>
        <v/>
      </c>
      <c r="R46" s="21" t="str">
        <f>IF('Tréso HT'!R45&lt;&gt;0,'Tréso HT'!R45*$C46,"")</f>
        <v/>
      </c>
      <c r="S46" s="21" t="str">
        <f>IF('Tréso HT'!S45&lt;&gt;0,'Tréso HT'!S45*$C46,"")</f>
        <v/>
      </c>
      <c r="T46" s="21" t="str">
        <f>IF('Tréso HT'!T45&lt;&gt;0,'Tréso HT'!T45*$C46,"")</f>
        <v/>
      </c>
      <c r="U46" s="21" t="str">
        <f>IF('Tréso HT'!U45&lt;&gt;0,'Tréso HT'!U45*$C46,"")</f>
        <v/>
      </c>
      <c r="V46" s="21" t="str">
        <f>IF('Tréso HT'!V45&lt;&gt;0,'Tréso HT'!V45*$C46,"")</f>
        <v/>
      </c>
      <c r="W46" s="21" t="str">
        <f>IF('Tréso HT'!W45&lt;&gt;0,'Tréso HT'!W45*$C46,"")</f>
        <v/>
      </c>
      <c r="X46" s="21">
        <f t="shared" si="9"/>
        <v>0</v>
      </c>
    </row>
    <row r="47" spans="1:24" ht="17.25" customHeight="1" x14ac:dyDescent="0.25">
      <c r="A47" s="257"/>
      <c r="B47" s="143" t="str">
        <f>IF('Tréso HT'!B46&lt;&gt;"",'Tréso HT'!B46,"")</f>
        <v/>
      </c>
      <c r="C47" s="51">
        <f>IF('Tréso HT'!C46&lt;&gt;"",IF('Tréso HT'!C46=20,1.2,IF('Tréso HT'!C46=10,1.1,IF('Tréso HT'!C46=5.5,1.055,1))),1)</f>
        <v>1</v>
      </c>
      <c r="D47" s="21" t="str">
        <f>IF('Tréso HT'!D46&lt;&gt;0,'Tréso HT'!D46*$C47,"")</f>
        <v/>
      </c>
      <c r="E47" s="21" t="str">
        <f>IF('Tréso HT'!E46&lt;&gt;0,'Tréso HT'!E46*$C47,"")</f>
        <v/>
      </c>
      <c r="F47" s="21" t="str">
        <f>IF('Tréso HT'!F46&lt;&gt;0,'Tréso HT'!F46*$C47,"")</f>
        <v/>
      </c>
      <c r="G47" s="21" t="str">
        <f>IF('Tréso HT'!G46&lt;&gt;0,'Tréso HT'!G46*$C47,"")</f>
        <v/>
      </c>
      <c r="H47" s="21" t="str">
        <f>IF('Tréso HT'!H46&lt;&gt;0,'Tréso HT'!H46*$C47,"")</f>
        <v/>
      </c>
      <c r="I47" s="21" t="str">
        <f>IF('Tréso HT'!I46&lt;&gt;0,'Tréso HT'!I46*$C47,"")</f>
        <v/>
      </c>
      <c r="J47" s="21" t="str">
        <f>IF('Tréso HT'!J46&lt;&gt;0,'Tréso HT'!J46*$C47,"")</f>
        <v/>
      </c>
      <c r="K47" s="21" t="str">
        <f>IF('Tréso HT'!K46&lt;&gt;0,'Tréso HT'!K46*$C47,"")</f>
        <v/>
      </c>
      <c r="L47" s="21" t="str">
        <f>IF('Tréso HT'!L46&lt;&gt;0,'Tréso HT'!L46*$C47,"")</f>
        <v/>
      </c>
      <c r="M47" s="21" t="str">
        <f>IF('Tréso HT'!M46&lt;&gt;0,'Tréso HT'!M46*$C47,"")</f>
        <v/>
      </c>
      <c r="N47" s="21" t="str">
        <f>IF('Tréso HT'!N46&lt;&gt;0,'Tréso HT'!N46*$C47,"")</f>
        <v/>
      </c>
      <c r="O47" s="21" t="str">
        <f>IF('Tréso HT'!O46&lt;&gt;0,'Tréso HT'!O46*$C47,"")</f>
        <v/>
      </c>
      <c r="P47" s="21" t="str">
        <f>IF('Tréso HT'!P46&lt;&gt;0,'Tréso HT'!P46*$C47,"")</f>
        <v/>
      </c>
      <c r="Q47" s="21" t="str">
        <f>IF('Tréso HT'!Q46&lt;&gt;0,'Tréso HT'!Q46*$C47,"")</f>
        <v/>
      </c>
      <c r="R47" s="21" t="str">
        <f>IF('Tréso HT'!R46&lt;&gt;0,'Tréso HT'!R46*$C47,"")</f>
        <v/>
      </c>
      <c r="S47" s="21" t="str">
        <f>IF('Tréso HT'!S46&lt;&gt;0,'Tréso HT'!S46*$C47,"")</f>
        <v/>
      </c>
      <c r="T47" s="21" t="str">
        <f>IF('Tréso HT'!T46&lt;&gt;0,'Tréso HT'!T46*$C47,"")</f>
        <v/>
      </c>
      <c r="U47" s="21" t="str">
        <f>IF('Tréso HT'!U46&lt;&gt;0,'Tréso HT'!U46*$C47,"")</f>
        <v/>
      </c>
      <c r="V47" s="21" t="str">
        <f>IF('Tréso HT'!V46&lt;&gt;0,'Tréso HT'!V46*$C47,"")</f>
        <v/>
      </c>
      <c r="W47" s="21" t="str">
        <f>IF('Tréso HT'!W46&lt;&gt;0,'Tréso HT'!W46*$C47,"")</f>
        <v/>
      </c>
      <c r="X47" s="21">
        <f t="shared" si="9"/>
        <v>0</v>
      </c>
    </row>
    <row r="48" spans="1:24" ht="17.25" customHeight="1" x14ac:dyDescent="0.25">
      <c r="A48" s="257"/>
      <c r="B48" s="143" t="str">
        <f>IF('Tréso HT'!B47&lt;&gt;"",'Tréso HT'!B47,"")</f>
        <v/>
      </c>
      <c r="C48" s="51">
        <f>IF('Tréso HT'!C47&lt;&gt;"",IF('Tréso HT'!C47=20,1.2,IF('Tréso HT'!C47=10,1.1,IF('Tréso HT'!C47=5.5,1.055,1))),1)</f>
        <v>1</v>
      </c>
      <c r="D48" s="21" t="str">
        <f>IF('Tréso HT'!D47&lt;&gt;0,'Tréso HT'!D47*$C48,"")</f>
        <v/>
      </c>
      <c r="E48" s="21" t="str">
        <f>IF('Tréso HT'!E47&lt;&gt;0,'Tréso HT'!E47*$C48,"")</f>
        <v/>
      </c>
      <c r="F48" s="21" t="str">
        <f>IF('Tréso HT'!F47&lt;&gt;0,'Tréso HT'!F47*$C48,"")</f>
        <v/>
      </c>
      <c r="G48" s="21" t="str">
        <f>IF('Tréso HT'!G47&lt;&gt;0,'Tréso HT'!G47*$C48,"")</f>
        <v/>
      </c>
      <c r="H48" s="21" t="str">
        <f>IF('Tréso HT'!H47&lt;&gt;0,'Tréso HT'!H47*$C48,"")</f>
        <v/>
      </c>
      <c r="I48" s="21" t="str">
        <f>IF('Tréso HT'!I47&lt;&gt;0,'Tréso HT'!I47*$C48,"")</f>
        <v/>
      </c>
      <c r="J48" s="21" t="str">
        <f>IF('Tréso HT'!J47&lt;&gt;0,'Tréso HT'!J47*$C48,"")</f>
        <v/>
      </c>
      <c r="K48" s="21" t="str">
        <f>IF('Tréso HT'!K47&lt;&gt;0,'Tréso HT'!K47*$C48,"")</f>
        <v/>
      </c>
      <c r="L48" s="21" t="str">
        <f>IF('Tréso HT'!L47&lt;&gt;0,'Tréso HT'!L47*$C48,"")</f>
        <v/>
      </c>
      <c r="M48" s="21" t="str">
        <f>IF('Tréso HT'!M47&lt;&gt;0,'Tréso HT'!M47*$C48,"")</f>
        <v/>
      </c>
      <c r="N48" s="21" t="str">
        <f>IF('Tréso HT'!N47&lt;&gt;0,'Tréso HT'!N47*$C48,"")</f>
        <v/>
      </c>
      <c r="O48" s="21" t="str">
        <f>IF('Tréso HT'!O47&lt;&gt;0,'Tréso HT'!O47*$C48,"")</f>
        <v/>
      </c>
      <c r="P48" s="21" t="str">
        <f>IF('Tréso HT'!P47&lt;&gt;0,'Tréso HT'!P47*$C48,"")</f>
        <v/>
      </c>
      <c r="Q48" s="21" t="str">
        <f>IF('Tréso HT'!Q47&lt;&gt;0,'Tréso HT'!Q47*$C48,"")</f>
        <v/>
      </c>
      <c r="R48" s="21" t="str">
        <f>IF('Tréso HT'!R47&lt;&gt;0,'Tréso HT'!R47*$C48,"")</f>
        <v/>
      </c>
      <c r="S48" s="21" t="str">
        <f>IF('Tréso HT'!S47&lt;&gt;0,'Tréso HT'!S47*$C48,"")</f>
        <v/>
      </c>
      <c r="T48" s="21" t="str">
        <f>IF('Tréso HT'!T47&lt;&gt;0,'Tréso HT'!T47*$C48,"")</f>
        <v/>
      </c>
      <c r="U48" s="21" t="str">
        <f>IF('Tréso HT'!U47&lt;&gt;0,'Tréso HT'!U47*$C48,"")</f>
        <v/>
      </c>
      <c r="V48" s="21" t="str">
        <f>IF('Tréso HT'!V47&lt;&gt;0,'Tréso HT'!V47*$C48,"")</f>
        <v/>
      </c>
      <c r="W48" s="21" t="str">
        <f>IF('Tréso HT'!W47&lt;&gt;0,'Tréso HT'!W47*$C48,"")</f>
        <v/>
      </c>
      <c r="X48" s="21">
        <f t="shared" si="9"/>
        <v>0</v>
      </c>
    </row>
    <row r="49" spans="1:25" ht="17.25" customHeight="1" x14ac:dyDescent="0.25">
      <c r="A49" s="257"/>
      <c r="B49" s="143" t="str">
        <f>IF('Tréso HT'!B48&lt;&gt;"",'Tréso HT'!B48,"")</f>
        <v/>
      </c>
      <c r="C49" s="51">
        <f>IF('Tréso HT'!C48&lt;&gt;"",IF('Tréso HT'!C48=20,1.2,IF('Tréso HT'!C48=10,1.1,IF('Tréso HT'!C48=5.5,1.055,1))),1)</f>
        <v>1</v>
      </c>
      <c r="D49" s="21" t="str">
        <f>IF('Tréso HT'!D48&lt;&gt;0,'Tréso HT'!D48*$C49,"")</f>
        <v/>
      </c>
      <c r="E49" s="21" t="str">
        <f>IF('Tréso HT'!E48&lt;&gt;0,'Tréso HT'!E48*$C49,"")</f>
        <v/>
      </c>
      <c r="F49" s="21" t="str">
        <f>IF('Tréso HT'!F48&lt;&gt;0,'Tréso HT'!F48*$C49,"")</f>
        <v/>
      </c>
      <c r="G49" s="21" t="str">
        <f>IF('Tréso HT'!G48&lt;&gt;0,'Tréso HT'!G48*$C49,"")</f>
        <v/>
      </c>
      <c r="H49" s="21" t="str">
        <f>IF('Tréso HT'!H48&lt;&gt;0,'Tréso HT'!H48*$C49,"")</f>
        <v/>
      </c>
      <c r="I49" s="21" t="str">
        <f>IF('Tréso HT'!I48&lt;&gt;0,'Tréso HT'!I48*$C49,"")</f>
        <v/>
      </c>
      <c r="J49" s="21" t="str">
        <f>IF('Tréso HT'!J48&lt;&gt;0,'Tréso HT'!J48*$C49,"")</f>
        <v/>
      </c>
      <c r="K49" s="21" t="str">
        <f>IF('Tréso HT'!K48&lt;&gt;0,'Tréso HT'!K48*$C49,"")</f>
        <v/>
      </c>
      <c r="L49" s="21" t="str">
        <f>IF('Tréso HT'!L48&lt;&gt;0,'Tréso HT'!L48*$C49,"")</f>
        <v/>
      </c>
      <c r="M49" s="21" t="str">
        <f>IF('Tréso HT'!M48&lt;&gt;0,'Tréso HT'!M48*$C49,"")</f>
        <v/>
      </c>
      <c r="N49" s="21" t="str">
        <f>IF('Tréso HT'!N48&lt;&gt;0,'Tréso HT'!N48*$C49,"")</f>
        <v/>
      </c>
      <c r="O49" s="21" t="str">
        <f>IF('Tréso HT'!O48&lt;&gt;0,'Tréso HT'!O48*$C49,"")</f>
        <v/>
      </c>
      <c r="P49" s="21" t="str">
        <f>IF('Tréso HT'!P48&lt;&gt;0,'Tréso HT'!P48*$C49,"")</f>
        <v/>
      </c>
      <c r="Q49" s="21" t="str">
        <f>IF('Tréso HT'!Q48&lt;&gt;0,'Tréso HT'!Q48*$C49,"")</f>
        <v/>
      </c>
      <c r="R49" s="21" t="str">
        <f>IF('Tréso HT'!R48&lt;&gt;0,'Tréso HT'!R48*$C49,"")</f>
        <v/>
      </c>
      <c r="S49" s="21" t="str">
        <f>IF('Tréso HT'!S48&lt;&gt;0,'Tréso HT'!S48*$C49,"")</f>
        <v/>
      </c>
      <c r="T49" s="21" t="str">
        <f>IF('Tréso HT'!T48&lt;&gt;0,'Tréso HT'!T48*$C49,"")</f>
        <v/>
      </c>
      <c r="U49" s="21" t="str">
        <f>IF('Tréso HT'!U48&lt;&gt;0,'Tréso HT'!U48*$C49,"")</f>
        <v/>
      </c>
      <c r="V49" s="21" t="str">
        <f>IF('Tréso HT'!V48&lt;&gt;0,'Tréso HT'!V48*$C49,"")</f>
        <v/>
      </c>
      <c r="W49" s="21" t="str">
        <f>IF('Tréso HT'!W48&lt;&gt;0,'Tréso HT'!W48*$C49,"")</f>
        <v/>
      </c>
      <c r="X49" s="21">
        <f t="shared" si="9"/>
        <v>0</v>
      </c>
    </row>
    <row r="50" spans="1:25" ht="17.25" customHeight="1" x14ac:dyDescent="0.25">
      <c r="A50" s="257"/>
      <c r="B50" s="143" t="str">
        <f>IF('Tréso HT'!B49&lt;&gt;"",'Tréso HT'!B49,"")</f>
        <v/>
      </c>
      <c r="C50" s="51">
        <f>IF('Tréso HT'!C49&lt;&gt;"",IF('Tréso HT'!C49=20,1.2,IF('Tréso HT'!C49=10,1.1,IF('Tréso HT'!C49=5.5,1.055,1))),1)</f>
        <v>1</v>
      </c>
      <c r="D50" s="21" t="str">
        <f>IF('Tréso HT'!D49&lt;&gt;0,'Tréso HT'!D49*$C50,"")</f>
        <v/>
      </c>
      <c r="E50" s="21" t="str">
        <f>IF('Tréso HT'!E49&lt;&gt;0,'Tréso HT'!E49*$C50,"")</f>
        <v/>
      </c>
      <c r="F50" s="21" t="str">
        <f>IF('Tréso HT'!F49&lt;&gt;0,'Tréso HT'!F49*$C50,"")</f>
        <v/>
      </c>
      <c r="G50" s="21" t="str">
        <f>IF('Tréso HT'!G49&lt;&gt;0,'Tréso HT'!G49*$C50,"")</f>
        <v/>
      </c>
      <c r="H50" s="21" t="str">
        <f>IF('Tréso HT'!H49&lt;&gt;0,'Tréso HT'!H49*$C50,"")</f>
        <v/>
      </c>
      <c r="I50" s="21" t="str">
        <f>IF('Tréso HT'!I49&lt;&gt;0,'Tréso HT'!I49*$C50,"")</f>
        <v/>
      </c>
      <c r="J50" s="21" t="str">
        <f>IF('Tréso HT'!J49&lt;&gt;0,'Tréso HT'!J49*$C50,"")</f>
        <v/>
      </c>
      <c r="K50" s="21" t="str">
        <f>IF('Tréso HT'!K49&lt;&gt;0,'Tréso HT'!K49*$C50,"")</f>
        <v/>
      </c>
      <c r="L50" s="21" t="str">
        <f>IF('Tréso HT'!L49&lt;&gt;0,'Tréso HT'!L49*$C50,"")</f>
        <v/>
      </c>
      <c r="M50" s="21" t="str">
        <f>IF('Tréso HT'!M49&lt;&gt;0,'Tréso HT'!M49*$C50,"")</f>
        <v/>
      </c>
      <c r="N50" s="21" t="str">
        <f>IF('Tréso HT'!N49&lt;&gt;0,'Tréso HT'!N49*$C50,"")</f>
        <v/>
      </c>
      <c r="O50" s="21" t="str">
        <f>IF('Tréso HT'!O49&lt;&gt;0,'Tréso HT'!O49*$C50,"")</f>
        <v/>
      </c>
      <c r="P50" s="21" t="str">
        <f>IF('Tréso HT'!P49&lt;&gt;0,'Tréso HT'!P49*$C50,"")</f>
        <v/>
      </c>
      <c r="Q50" s="21" t="str">
        <f>IF('Tréso HT'!Q49&lt;&gt;0,'Tréso HT'!Q49*$C50,"")</f>
        <v/>
      </c>
      <c r="R50" s="21" t="str">
        <f>IF('Tréso HT'!R49&lt;&gt;0,'Tréso HT'!R49*$C50,"")</f>
        <v/>
      </c>
      <c r="S50" s="21" t="str">
        <f>IF('Tréso HT'!S49&lt;&gt;0,'Tréso HT'!S49*$C50,"")</f>
        <v/>
      </c>
      <c r="T50" s="21" t="str">
        <f>IF('Tréso HT'!T49&lt;&gt;0,'Tréso HT'!T49*$C50,"")</f>
        <v/>
      </c>
      <c r="U50" s="21" t="str">
        <f>IF('Tréso HT'!U49&lt;&gt;0,'Tréso HT'!U49*$C50,"")</f>
        <v/>
      </c>
      <c r="V50" s="21" t="str">
        <f>IF('Tréso HT'!V49&lt;&gt;0,'Tréso HT'!V49*$C50,"")</f>
        <v/>
      </c>
      <c r="W50" s="21" t="str">
        <f>IF('Tréso HT'!W49&lt;&gt;0,'Tréso HT'!W49*$C50,"")</f>
        <v/>
      </c>
      <c r="X50" s="21">
        <f t="shared" si="9"/>
        <v>0</v>
      </c>
    </row>
    <row r="51" spans="1:25" ht="17.25" customHeight="1" x14ac:dyDescent="0.25">
      <c r="A51" s="257"/>
      <c r="B51" s="143" t="str">
        <f>IF('Tréso HT'!B50&lt;&gt;"",'Tréso HT'!B50,"")</f>
        <v>Prélèvements Privés</v>
      </c>
      <c r="C51" s="51">
        <f>IF('Tréso HT'!C50&lt;&gt;"",IF('Tréso HT'!C50=20,1.2,IF('Tréso HT'!C50=10,1.1,IF('Tréso HT'!C50=5.5,1.055,1))),1)</f>
        <v>1</v>
      </c>
      <c r="D51" s="21" t="str">
        <f>IF('Tréso HT'!D50&lt;&gt;0,'Tréso HT'!D50*$C51,"")</f>
        <v/>
      </c>
      <c r="E51" s="21" t="str">
        <f>IF('Tréso HT'!E50&lt;&gt;0,'Tréso HT'!E50*$C51,"")</f>
        <v/>
      </c>
      <c r="F51" s="21" t="str">
        <f>IF('Tréso HT'!F50&lt;&gt;0,'Tréso HT'!F50*$C51,"")</f>
        <v/>
      </c>
      <c r="G51" s="21" t="str">
        <f>IF('Tréso HT'!G50&lt;&gt;0,'Tréso HT'!G50*$C51,"")</f>
        <v/>
      </c>
      <c r="H51" s="21" t="str">
        <f>IF('Tréso HT'!H50&lt;&gt;0,'Tréso HT'!H50*$C51,"")</f>
        <v/>
      </c>
      <c r="I51" s="21" t="str">
        <f>IF('Tréso HT'!I50&lt;&gt;0,'Tréso HT'!I50*$C51,"")</f>
        <v/>
      </c>
      <c r="J51" s="21" t="str">
        <f>IF('Tréso HT'!J50&lt;&gt;0,'Tréso HT'!J50*$C51,"")</f>
        <v/>
      </c>
      <c r="K51" s="21" t="str">
        <f>IF('Tréso HT'!K50&lt;&gt;0,'Tréso HT'!K50*$C51,"")</f>
        <v/>
      </c>
      <c r="L51" s="21" t="str">
        <f>IF('Tréso HT'!L50&lt;&gt;0,'Tréso HT'!L50*$C51,"")</f>
        <v/>
      </c>
      <c r="M51" s="21" t="str">
        <f>IF('Tréso HT'!M50&lt;&gt;0,'Tréso HT'!M50*$C51,"")</f>
        <v/>
      </c>
      <c r="N51" s="21" t="str">
        <f>IF('Tréso HT'!N50&lt;&gt;0,'Tréso HT'!N50*$C51,"")</f>
        <v/>
      </c>
      <c r="O51" s="21" t="str">
        <f>IF('Tréso HT'!O50&lt;&gt;0,'Tréso HT'!O50*$C51,"")</f>
        <v/>
      </c>
      <c r="P51" s="21" t="str">
        <f>IF('Tréso HT'!P50&lt;&gt;0,'Tréso HT'!P50*$C51,"")</f>
        <v/>
      </c>
      <c r="Q51" s="21" t="str">
        <f>IF('Tréso HT'!Q50&lt;&gt;0,'Tréso HT'!Q50*$C51,"")</f>
        <v/>
      </c>
      <c r="R51" s="21" t="str">
        <f>IF('Tréso HT'!R50&lt;&gt;0,'Tréso HT'!R50*$C51,"")</f>
        <v/>
      </c>
      <c r="S51" s="21" t="str">
        <f>IF('Tréso HT'!S50&lt;&gt;0,'Tréso HT'!S50*$C51,"")</f>
        <v/>
      </c>
      <c r="T51" s="21" t="str">
        <f>IF('Tréso HT'!T50&lt;&gt;0,'Tréso HT'!T50*$C51,"")</f>
        <v/>
      </c>
      <c r="U51" s="21" t="str">
        <f>IF('Tréso HT'!U50&lt;&gt;0,'Tréso HT'!U50*$C51,"")</f>
        <v/>
      </c>
      <c r="V51" s="21" t="str">
        <f>IF('Tréso HT'!V50&lt;&gt;0,'Tréso HT'!V50*$C51,"")</f>
        <v/>
      </c>
      <c r="W51" s="21" t="str">
        <f>IF('Tréso HT'!W50&lt;&gt;0,'Tréso HT'!W50*$C51,"")</f>
        <v/>
      </c>
      <c r="X51" s="21">
        <f t="shared" si="9"/>
        <v>0</v>
      </c>
    </row>
    <row r="52" spans="1:25" ht="17.25" customHeight="1" x14ac:dyDescent="0.25">
      <c r="A52" s="257"/>
      <c r="B52" s="143" t="str">
        <f>IF('Tréso HT'!B51&lt;&gt;"",'Tréso HT'!B51,"")</f>
        <v>Investissement en Immobilisation</v>
      </c>
      <c r="C52" s="51">
        <f>IF('Tréso HT'!C51&lt;&gt;"",IF('Tréso HT'!C51=20,1.2,IF('Tréso HT'!C51=10,1.1,IF('Tréso HT'!C51=5.5,1.055,1))),1)</f>
        <v>1.2</v>
      </c>
      <c r="D52" s="21" t="str">
        <f>IF('Tréso HT'!D51&lt;&gt;0,'Tréso HT'!D51*$C52,"")</f>
        <v/>
      </c>
      <c r="E52" s="21" t="str">
        <f>IF('Tréso HT'!E51&lt;&gt;0,'Tréso HT'!E51*$C52,"")</f>
        <v/>
      </c>
      <c r="F52" s="21" t="str">
        <f>IF('Tréso HT'!F51&lt;&gt;0,'Tréso HT'!F51*$C52,"")</f>
        <v/>
      </c>
      <c r="G52" s="21" t="str">
        <f>IF('Tréso HT'!G51&lt;&gt;0,'Tréso HT'!G51*$C52,"")</f>
        <v/>
      </c>
      <c r="H52" s="21" t="str">
        <f>IF('Tréso HT'!H51&lt;&gt;0,'Tréso HT'!H51*$C52,"")</f>
        <v/>
      </c>
      <c r="I52" s="21" t="str">
        <f>IF('Tréso HT'!I51&lt;&gt;0,'Tréso HT'!I51*$C52,"")</f>
        <v/>
      </c>
      <c r="J52" s="21" t="str">
        <f>IF('Tréso HT'!J51&lt;&gt;0,'Tréso HT'!J51*$C52,"")</f>
        <v/>
      </c>
      <c r="K52" s="21" t="str">
        <f>IF('Tréso HT'!K51&lt;&gt;0,'Tréso HT'!K51*$C52,"")</f>
        <v/>
      </c>
      <c r="L52" s="21" t="str">
        <f>IF('Tréso HT'!L51&lt;&gt;0,'Tréso HT'!L51*$C52,"")</f>
        <v/>
      </c>
      <c r="M52" s="21" t="str">
        <f>IF('Tréso HT'!M51&lt;&gt;0,'Tréso HT'!M51*$C52,"")</f>
        <v/>
      </c>
      <c r="N52" s="21" t="str">
        <f>IF('Tréso HT'!N51&lt;&gt;0,'Tréso HT'!N51*$C52,"")</f>
        <v/>
      </c>
      <c r="O52" s="21" t="str">
        <f>IF('Tréso HT'!O51&lt;&gt;0,'Tréso HT'!O51*$C52,"")</f>
        <v/>
      </c>
      <c r="P52" s="21" t="str">
        <f>IF('Tréso HT'!P51&lt;&gt;0,'Tréso HT'!P51*$C52,"")</f>
        <v/>
      </c>
      <c r="Q52" s="21" t="str">
        <f>IF('Tréso HT'!Q51&lt;&gt;0,'Tréso HT'!Q51*$C52,"")</f>
        <v/>
      </c>
      <c r="R52" s="21" t="str">
        <f>IF('Tréso HT'!R51&lt;&gt;0,'Tréso HT'!R51*$C52,"")</f>
        <v/>
      </c>
      <c r="S52" s="21" t="str">
        <f>IF('Tréso HT'!S51&lt;&gt;0,'Tréso HT'!S51*$C52,"")</f>
        <v/>
      </c>
      <c r="T52" s="21" t="str">
        <f>IF('Tréso HT'!T51&lt;&gt;0,'Tréso HT'!T51*$C52,"")</f>
        <v/>
      </c>
      <c r="U52" s="21" t="str">
        <f>IF('Tréso HT'!U51&lt;&gt;0,'Tréso HT'!U51*$C52,"")</f>
        <v/>
      </c>
      <c r="V52" s="21" t="str">
        <f>IF('Tréso HT'!V51&lt;&gt;0,'Tréso HT'!V51*$C52,"")</f>
        <v/>
      </c>
      <c r="W52" s="21" t="str">
        <f>IF('Tréso HT'!W51&lt;&gt;0,'Tréso HT'!W51*$C52,"")</f>
        <v/>
      </c>
      <c r="X52" s="21">
        <f t="shared" si="9"/>
        <v>0</v>
      </c>
    </row>
    <row r="53" spans="1:25" ht="17.25" customHeight="1" x14ac:dyDescent="0.25">
      <c r="A53" s="257"/>
      <c r="B53" s="143" t="str">
        <f>IF('Tréso HT'!B52&lt;&gt;"",'Tréso HT'!B52,"")</f>
        <v>TVA (Acompte, solde)   à compléter si choix "acompte TVA manuelle"</v>
      </c>
      <c r="C53" s="51">
        <f>IF('Tréso HT'!C53&lt;&gt;"",IF('Tréso HT'!C53=20,1.2,IF('Tréso HT'!C53=10,1.1,IF('Tréso HT'!C53=5.5,1.055,1))),1)</f>
        <v>1</v>
      </c>
      <c r="D53" s="21"/>
      <c r="E53" s="21" t="str">
        <f>IF('Tréso HT'!E53&lt;&gt;0,'Tréso HT'!E53*$C53,"")</f>
        <v/>
      </c>
      <c r="F53" s="21" t="str">
        <f>IF('Tréso HT'!F53&lt;&gt;0,'Tréso HT'!F53*$C53,"")</f>
        <v/>
      </c>
      <c r="G53" s="21" t="str">
        <f>IF('Tréso HT'!G53&lt;&gt;0,'Tréso HT'!G53*$C53,"")</f>
        <v/>
      </c>
      <c r="H53" s="21" t="str">
        <f>IF('Tréso HT'!H53&lt;&gt;0,'Tréso HT'!H53*$C53,"")</f>
        <v/>
      </c>
      <c r="I53" s="21" t="str">
        <f>IF('Tréso HT'!I53&lt;&gt;0,'Tréso HT'!I53*$C53,"")</f>
        <v/>
      </c>
      <c r="J53" s="21" t="str">
        <f>IF('Tréso HT'!J53&lt;&gt;0,'Tréso HT'!J53*$C53,"")</f>
        <v/>
      </c>
      <c r="K53" s="21" t="str">
        <f>IF('Tréso HT'!K53&lt;&gt;0,'Tréso HT'!K53*$C53,"")</f>
        <v/>
      </c>
      <c r="L53" s="21" t="str">
        <f>IF('Tréso HT'!L53&lt;&gt;0,'Tréso HT'!L53*$C53,"")</f>
        <v/>
      </c>
      <c r="M53" s="21" t="str">
        <f>IF('Tréso HT'!M53&lt;&gt;0,'Tréso HT'!M53*$C53,"")</f>
        <v/>
      </c>
      <c r="N53" s="21" t="str">
        <f>IF('Tréso HT'!N53&lt;&gt;0,'Tréso HT'!N53*$C53,"")</f>
        <v/>
      </c>
      <c r="O53" s="21" t="str">
        <f>IF('Tréso HT'!O53&lt;&gt;0,'Tréso HT'!O53*$C53,"")</f>
        <v/>
      </c>
      <c r="P53" s="21" t="str">
        <f>IF('Tréso HT'!P53&lt;&gt;0,'Tréso HT'!P53*$C53,"")</f>
        <v/>
      </c>
      <c r="Q53" s="21" t="str">
        <f>IF('Tréso HT'!Q53&lt;&gt;0,'Tréso HT'!Q53*$C53,"")</f>
        <v/>
      </c>
      <c r="R53" s="21" t="str">
        <f>IF('Tréso HT'!R53&lt;&gt;0,'Tréso HT'!R53*$C53,"")</f>
        <v/>
      </c>
      <c r="S53" s="21" t="str">
        <f>IF('Tréso HT'!S53&lt;&gt;0,'Tréso HT'!S53*$C53,"")</f>
        <v/>
      </c>
      <c r="T53" s="21" t="str">
        <f>IF('Tréso HT'!T53&lt;&gt;0,'Tréso HT'!T53*$C53,"")</f>
        <v/>
      </c>
      <c r="U53" s="21" t="str">
        <f>IF('Tréso HT'!U53&lt;&gt;0,'Tréso HT'!U53*$C53,"")</f>
        <v/>
      </c>
      <c r="V53" s="21" t="str">
        <f>IF('Tréso HT'!V53&lt;&gt;0,'Tréso HT'!V53*$C53,"")</f>
        <v/>
      </c>
      <c r="W53" s="21" t="str">
        <f>IF('Tréso HT'!W53&lt;&gt;0,'Tréso HT'!W53*$C53,"")</f>
        <v/>
      </c>
      <c r="X53" s="166">
        <f t="shared" si="9"/>
        <v>0</v>
      </c>
    </row>
    <row r="54" spans="1:25" ht="17.25" customHeight="1" thickBot="1" x14ac:dyDescent="0.3">
      <c r="A54" s="257"/>
      <c r="B54" s="143" t="s">
        <v>125</v>
      </c>
      <c r="C54" s="51"/>
      <c r="D54" s="21" t="str">
        <f>D130</f>
        <v/>
      </c>
      <c r="E54" s="21" t="str">
        <f t="shared" ref="E54:W54" si="10">E130</f>
        <v/>
      </c>
      <c r="F54" s="21" t="str">
        <f t="shared" si="10"/>
        <v/>
      </c>
      <c r="G54" s="21" t="str">
        <f t="shared" si="10"/>
        <v/>
      </c>
      <c r="H54" s="21" t="str">
        <f t="shared" si="10"/>
        <v/>
      </c>
      <c r="I54" s="21" t="str">
        <f t="shared" si="10"/>
        <v/>
      </c>
      <c r="J54" s="21" t="str">
        <f t="shared" si="10"/>
        <v/>
      </c>
      <c r="K54" s="21" t="str">
        <f t="shared" si="10"/>
        <v/>
      </c>
      <c r="L54" s="21" t="str">
        <f t="shared" si="10"/>
        <v/>
      </c>
      <c r="M54" s="21" t="str">
        <f t="shared" si="10"/>
        <v/>
      </c>
      <c r="N54" s="21" t="str">
        <f t="shared" si="10"/>
        <v/>
      </c>
      <c r="O54" s="21" t="str">
        <f t="shared" si="10"/>
        <v/>
      </c>
      <c r="P54" s="21" t="str">
        <f t="shared" ca="1" si="10"/>
        <v/>
      </c>
      <c r="Q54" s="21" t="str">
        <f t="shared" si="10"/>
        <v/>
      </c>
      <c r="R54" s="21" t="str">
        <f t="shared" si="10"/>
        <v/>
      </c>
      <c r="S54" s="21" t="str">
        <f t="shared" ca="1" si="10"/>
        <v/>
      </c>
      <c r="T54" s="21" t="str">
        <f t="shared" si="10"/>
        <v/>
      </c>
      <c r="U54" s="21" t="str">
        <f t="shared" si="10"/>
        <v/>
      </c>
      <c r="V54" s="21" t="str">
        <f t="shared" ca="1" si="10"/>
        <v/>
      </c>
      <c r="W54" s="21" t="str">
        <f t="shared" si="10"/>
        <v/>
      </c>
      <c r="X54" s="166">
        <f ca="1">SUM(D54:W54)</f>
        <v>0</v>
      </c>
    </row>
    <row r="55" spans="1:25" ht="17.25" customHeight="1" thickBot="1" x14ac:dyDescent="0.3">
      <c r="A55" s="153"/>
      <c r="B55" s="152" t="s">
        <v>96</v>
      </c>
      <c r="C55" s="123"/>
      <c r="D55" s="186">
        <f>SUM(D26:D54)</f>
        <v>0</v>
      </c>
      <c r="E55" s="186">
        <f t="shared" ref="E55:W55" si="11">SUM(E26:E54)</f>
        <v>0</v>
      </c>
      <c r="F55" s="186">
        <f t="shared" si="11"/>
        <v>0</v>
      </c>
      <c r="G55" s="186">
        <f t="shared" si="11"/>
        <v>0</v>
      </c>
      <c r="H55" s="186">
        <f t="shared" si="11"/>
        <v>0</v>
      </c>
      <c r="I55" s="186">
        <f t="shared" si="11"/>
        <v>0</v>
      </c>
      <c r="J55" s="186">
        <f t="shared" si="11"/>
        <v>0</v>
      </c>
      <c r="K55" s="186">
        <f t="shared" si="11"/>
        <v>0</v>
      </c>
      <c r="L55" s="186">
        <f t="shared" si="11"/>
        <v>0</v>
      </c>
      <c r="M55" s="186">
        <f t="shared" si="11"/>
        <v>0</v>
      </c>
      <c r="N55" s="186">
        <f t="shared" si="11"/>
        <v>0</v>
      </c>
      <c r="O55" s="186">
        <f t="shared" si="11"/>
        <v>0</v>
      </c>
      <c r="P55" s="186">
        <f t="shared" ca="1" si="11"/>
        <v>0</v>
      </c>
      <c r="Q55" s="186">
        <f t="shared" si="11"/>
        <v>0</v>
      </c>
      <c r="R55" s="186">
        <f t="shared" si="11"/>
        <v>0</v>
      </c>
      <c r="S55" s="186">
        <f t="shared" ca="1" si="11"/>
        <v>0</v>
      </c>
      <c r="T55" s="186">
        <f t="shared" si="11"/>
        <v>0</v>
      </c>
      <c r="U55" s="186">
        <f>SUM(U26:U54)</f>
        <v>0</v>
      </c>
      <c r="V55" s="186">
        <f t="shared" ca="1" si="11"/>
        <v>0</v>
      </c>
      <c r="W55" s="186">
        <f t="shared" si="11"/>
        <v>0</v>
      </c>
      <c r="X55" s="187">
        <f ca="1">SUM(D55:W55)</f>
        <v>0</v>
      </c>
    </row>
    <row r="56" spans="1:25" ht="17.25" customHeight="1" x14ac:dyDescent="0.25">
      <c r="A56" s="151"/>
      <c r="B56" s="154" t="s">
        <v>20</v>
      </c>
      <c r="C56" s="124"/>
      <c r="D56" s="188">
        <f t="shared" ref="D56:W56" si="12">D24-D55</f>
        <v>0</v>
      </c>
      <c r="E56" s="188">
        <f t="shared" si="12"/>
        <v>0</v>
      </c>
      <c r="F56" s="188">
        <f t="shared" si="12"/>
        <v>0</v>
      </c>
      <c r="G56" s="188">
        <f t="shared" si="12"/>
        <v>0</v>
      </c>
      <c r="H56" s="188">
        <f t="shared" si="12"/>
        <v>0</v>
      </c>
      <c r="I56" s="188">
        <f t="shared" si="12"/>
        <v>0</v>
      </c>
      <c r="J56" s="188">
        <f t="shared" si="12"/>
        <v>0</v>
      </c>
      <c r="K56" s="188">
        <f t="shared" si="12"/>
        <v>0</v>
      </c>
      <c r="L56" s="188">
        <f t="shared" si="12"/>
        <v>0</v>
      </c>
      <c r="M56" s="188">
        <f t="shared" si="12"/>
        <v>0</v>
      </c>
      <c r="N56" s="188">
        <f t="shared" si="12"/>
        <v>0</v>
      </c>
      <c r="O56" s="188">
        <f t="shared" si="12"/>
        <v>0</v>
      </c>
      <c r="P56" s="188">
        <f t="shared" ca="1" si="12"/>
        <v>0</v>
      </c>
      <c r="Q56" s="188">
        <f t="shared" si="12"/>
        <v>0</v>
      </c>
      <c r="R56" s="188">
        <f t="shared" si="12"/>
        <v>0</v>
      </c>
      <c r="S56" s="188">
        <f t="shared" ca="1" si="12"/>
        <v>0</v>
      </c>
      <c r="T56" s="188">
        <f t="shared" si="12"/>
        <v>0</v>
      </c>
      <c r="U56" s="188">
        <f t="shared" si="12"/>
        <v>0</v>
      </c>
      <c r="V56" s="188">
        <f t="shared" ca="1" si="12"/>
        <v>0</v>
      </c>
      <c r="W56" s="188">
        <f t="shared" si="12"/>
        <v>0</v>
      </c>
      <c r="X56" s="189"/>
    </row>
    <row r="57" spans="1:25" ht="17.25" customHeight="1" x14ac:dyDescent="0.25">
      <c r="A57" s="156"/>
      <c r="B57" s="155"/>
      <c r="C57" s="125"/>
      <c r="D57" s="190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2"/>
      <c r="Q57" s="192"/>
      <c r="R57" s="192"/>
      <c r="S57" s="192"/>
      <c r="T57" s="192"/>
      <c r="U57" s="192"/>
      <c r="V57" s="192"/>
      <c r="W57" s="192"/>
      <c r="X57" s="189"/>
    </row>
    <row r="58" spans="1:25" ht="17.25" customHeight="1" x14ac:dyDescent="0.25">
      <c r="A58" s="157"/>
      <c r="B58" s="154" t="s">
        <v>58</v>
      </c>
      <c r="C58" s="124"/>
      <c r="D58" s="193">
        <f>D7+D56</f>
        <v>0</v>
      </c>
      <c r="E58" s="194">
        <f>D58+E56</f>
        <v>0</v>
      </c>
      <c r="F58" s="194">
        <f t="shared" ref="F58:O58" si="13">E58+F56</f>
        <v>0</v>
      </c>
      <c r="G58" s="194">
        <f t="shared" si="13"/>
        <v>0</v>
      </c>
      <c r="H58" s="194">
        <f t="shared" si="13"/>
        <v>0</v>
      </c>
      <c r="I58" s="194">
        <f t="shared" si="13"/>
        <v>0</v>
      </c>
      <c r="J58" s="194">
        <f t="shared" si="13"/>
        <v>0</v>
      </c>
      <c r="K58" s="194">
        <f t="shared" si="13"/>
        <v>0</v>
      </c>
      <c r="L58" s="194">
        <f t="shared" si="13"/>
        <v>0</v>
      </c>
      <c r="M58" s="194">
        <f t="shared" si="13"/>
        <v>0</v>
      </c>
      <c r="N58" s="194">
        <f t="shared" si="13"/>
        <v>0</v>
      </c>
      <c r="O58" s="194">
        <f t="shared" si="13"/>
        <v>0</v>
      </c>
      <c r="P58" s="194">
        <f t="shared" ref="P58:W58" ca="1" si="14">O58+P56</f>
        <v>0</v>
      </c>
      <c r="Q58" s="194">
        <f t="shared" ca="1" si="14"/>
        <v>0</v>
      </c>
      <c r="R58" s="194">
        <f t="shared" ca="1" si="14"/>
        <v>0</v>
      </c>
      <c r="S58" s="194">
        <f t="shared" ca="1" si="14"/>
        <v>0</v>
      </c>
      <c r="T58" s="194">
        <f t="shared" ca="1" si="14"/>
        <v>0</v>
      </c>
      <c r="U58" s="194">
        <f t="shared" ca="1" si="14"/>
        <v>0</v>
      </c>
      <c r="V58" s="194">
        <f t="shared" ca="1" si="14"/>
        <v>0</v>
      </c>
      <c r="W58" s="194">
        <f t="shared" ca="1" si="14"/>
        <v>0</v>
      </c>
      <c r="X58" s="195"/>
    </row>
    <row r="59" spans="1:25" ht="20.25" customHeight="1" x14ac:dyDescent="0.2">
      <c r="A59" s="150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</row>
    <row r="60" spans="1:25" ht="21.75" customHeight="1" x14ac:dyDescent="0.25">
      <c r="B60" s="171" t="s">
        <v>22</v>
      </c>
      <c r="C60" s="177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9"/>
      <c r="Y60" s="145"/>
    </row>
    <row r="61" spans="1:25" ht="21.75" customHeight="1" x14ac:dyDescent="0.25">
      <c r="B61" s="173" t="s">
        <v>25</v>
      </c>
      <c r="C61" s="174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21">
        <f>SUM(D61:W61)</f>
        <v>0</v>
      </c>
    </row>
    <row r="62" spans="1:25" ht="21.75" customHeight="1" x14ac:dyDescent="0.25">
      <c r="B62" s="173" t="s">
        <v>26</v>
      </c>
      <c r="C62" s="5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21">
        <f>SUM(D62:W62)</f>
        <v>0</v>
      </c>
    </row>
    <row r="63" spans="1:25" ht="12.75" customHeight="1" x14ac:dyDescent="0.25">
      <c r="B63" s="172"/>
      <c r="C63" s="49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170" t="str">
        <f>IF(X62&gt;=X61, "CT OK","Attention le CT n'est pas remboursé")</f>
        <v>CT OK</v>
      </c>
      <c r="Y63" s="145"/>
    </row>
    <row r="64" spans="1:25" ht="21.75" customHeight="1" thickBot="1" x14ac:dyDescent="0.3">
      <c r="B64" s="126" t="s">
        <v>27</v>
      </c>
      <c r="C64" s="126"/>
      <c r="D64" s="167">
        <f>D58+D61-D62</f>
        <v>0</v>
      </c>
      <c r="E64" s="127">
        <f t="shared" ref="E64:W64" si="15">D64+E56+E61-E62</f>
        <v>0</v>
      </c>
      <c r="F64" s="127">
        <f t="shared" si="15"/>
        <v>0</v>
      </c>
      <c r="G64" s="127">
        <f t="shared" si="15"/>
        <v>0</v>
      </c>
      <c r="H64" s="127">
        <f t="shared" si="15"/>
        <v>0</v>
      </c>
      <c r="I64" s="127">
        <f t="shared" si="15"/>
        <v>0</v>
      </c>
      <c r="J64" s="127">
        <f t="shared" si="15"/>
        <v>0</v>
      </c>
      <c r="K64" s="127">
        <f t="shared" si="15"/>
        <v>0</v>
      </c>
      <c r="L64" s="127">
        <f t="shared" si="15"/>
        <v>0</v>
      </c>
      <c r="M64" s="127">
        <f t="shared" si="15"/>
        <v>0</v>
      </c>
      <c r="N64" s="127">
        <f t="shared" si="15"/>
        <v>0</v>
      </c>
      <c r="O64" s="127">
        <f t="shared" si="15"/>
        <v>0</v>
      </c>
      <c r="P64" s="127">
        <f t="shared" ca="1" si="15"/>
        <v>0</v>
      </c>
      <c r="Q64" s="127">
        <f t="shared" ca="1" si="15"/>
        <v>0</v>
      </c>
      <c r="R64" s="127">
        <f t="shared" ca="1" si="15"/>
        <v>0</v>
      </c>
      <c r="S64" s="127">
        <f t="shared" ca="1" si="15"/>
        <v>0</v>
      </c>
      <c r="T64" s="127">
        <f t="shared" ca="1" si="15"/>
        <v>0</v>
      </c>
      <c r="U64" s="127">
        <f t="shared" ca="1" si="15"/>
        <v>0</v>
      </c>
      <c r="V64" s="127">
        <f t="shared" ca="1" si="15"/>
        <v>0</v>
      </c>
      <c r="W64" s="127">
        <f t="shared" ca="1" si="15"/>
        <v>0</v>
      </c>
      <c r="X64" s="180"/>
    </row>
    <row r="65" spans="2:24" ht="21.75" customHeight="1" thickBot="1" x14ac:dyDescent="0.3">
      <c r="B65" s="14" t="s">
        <v>68</v>
      </c>
      <c r="C65" s="165"/>
      <c r="D65" s="226"/>
      <c r="E65" s="166">
        <f>D65</f>
        <v>0</v>
      </c>
      <c r="F65" s="21">
        <f t="shared" ref="F65:O65" si="16">E65</f>
        <v>0</v>
      </c>
      <c r="G65" s="21">
        <f t="shared" si="16"/>
        <v>0</v>
      </c>
      <c r="H65" s="21">
        <f t="shared" si="16"/>
        <v>0</v>
      </c>
      <c r="I65" s="21">
        <f t="shared" si="16"/>
        <v>0</v>
      </c>
      <c r="J65" s="21">
        <f t="shared" si="16"/>
        <v>0</v>
      </c>
      <c r="K65" s="21">
        <f t="shared" si="16"/>
        <v>0</v>
      </c>
      <c r="L65" s="21">
        <f t="shared" si="16"/>
        <v>0</v>
      </c>
      <c r="M65" s="21">
        <f t="shared" si="16"/>
        <v>0</v>
      </c>
      <c r="N65" s="21">
        <f t="shared" si="16"/>
        <v>0</v>
      </c>
      <c r="O65" s="21">
        <f t="shared" si="16"/>
        <v>0</v>
      </c>
      <c r="P65" s="21">
        <f t="shared" ref="P65:W65" si="17">O65</f>
        <v>0</v>
      </c>
      <c r="Q65" s="21">
        <f t="shared" si="17"/>
        <v>0</v>
      </c>
      <c r="R65" s="21">
        <f t="shared" si="17"/>
        <v>0</v>
      </c>
      <c r="S65" s="21">
        <f t="shared" si="17"/>
        <v>0</v>
      </c>
      <c r="T65" s="21">
        <f t="shared" si="17"/>
        <v>0</v>
      </c>
      <c r="U65" s="21">
        <f t="shared" si="17"/>
        <v>0</v>
      </c>
      <c r="V65" s="21">
        <f t="shared" si="17"/>
        <v>0</v>
      </c>
      <c r="W65" s="21">
        <f t="shared" si="17"/>
        <v>0</v>
      </c>
      <c r="X65" s="169"/>
    </row>
    <row r="66" spans="2:24" ht="21.75" customHeight="1" x14ac:dyDescent="0.25">
      <c r="B66" s="213" t="s">
        <v>28</v>
      </c>
      <c r="C66" s="214"/>
      <c r="D66" s="215">
        <f>IF(D64&gt;=0,0,IF(D64&lt;D65,D64-D65,0))</f>
        <v>0</v>
      </c>
      <c r="E66" s="216">
        <f t="shared" ref="E66:W66" si="18">IF(E64&gt;=0,0,IF(E64&lt;E65,E64-E65,0))</f>
        <v>0</v>
      </c>
      <c r="F66" s="216">
        <f t="shared" si="18"/>
        <v>0</v>
      </c>
      <c r="G66" s="216">
        <f t="shared" si="18"/>
        <v>0</v>
      </c>
      <c r="H66" s="216">
        <f t="shared" si="18"/>
        <v>0</v>
      </c>
      <c r="I66" s="216">
        <f t="shared" si="18"/>
        <v>0</v>
      </c>
      <c r="J66" s="216">
        <f t="shared" si="18"/>
        <v>0</v>
      </c>
      <c r="K66" s="216">
        <f t="shared" si="18"/>
        <v>0</v>
      </c>
      <c r="L66" s="216">
        <f t="shared" si="18"/>
        <v>0</v>
      </c>
      <c r="M66" s="216">
        <f t="shared" si="18"/>
        <v>0</v>
      </c>
      <c r="N66" s="216">
        <f t="shared" si="18"/>
        <v>0</v>
      </c>
      <c r="O66" s="216">
        <f t="shared" si="18"/>
        <v>0</v>
      </c>
      <c r="P66" s="216">
        <f t="shared" ca="1" si="18"/>
        <v>0</v>
      </c>
      <c r="Q66" s="216">
        <f t="shared" ca="1" si="18"/>
        <v>0</v>
      </c>
      <c r="R66" s="216">
        <f t="shared" ca="1" si="18"/>
        <v>0</v>
      </c>
      <c r="S66" s="216">
        <f t="shared" ca="1" si="18"/>
        <v>0</v>
      </c>
      <c r="T66" s="216">
        <f t="shared" ca="1" si="18"/>
        <v>0</v>
      </c>
      <c r="U66" s="216">
        <f t="shared" ca="1" si="18"/>
        <v>0</v>
      </c>
      <c r="V66" s="216">
        <f t="shared" ca="1" si="18"/>
        <v>0</v>
      </c>
      <c r="W66" s="216">
        <f t="shared" ca="1" si="18"/>
        <v>0</v>
      </c>
      <c r="X66" s="169"/>
    </row>
    <row r="67" spans="2:24" ht="21.75" customHeight="1" x14ac:dyDescent="0.25">
      <c r="B67" s="20" t="s">
        <v>23</v>
      </c>
      <c r="C67" s="52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169"/>
    </row>
    <row r="68" spans="2:24" ht="21.75" customHeight="1" x14ac:dyDescent="0.2">
      <c r="B68" s="128" t="s">
        <v>24</v>
      </c>
      <c r="C68" s="128"/>
      <c r="D68" s="129">
        <f>IF(D64&gt;0,D64,0)</f>
        <v>0</v>
      </c>
      <c r="E68" s="129">
        <f t="shared" ref="E68:W68" si="19">IF(E64&gt;0,E64,0)</f>
        <v>0</v>
      </c>
      <c r="F68" s="129">
        <f t="shared" si="19"/>
        <v>0</v>
      </c>
      <c r="G68" s="129">
        <f t="shared" si="19"/>
        <v>0</v>
      </c>
      <c r="H68" s="129">
        <f t="shared" si="19"/>
        <v>0</v>
      </c>
      <c r="I68" s="129">
        <f t="shared" si="19"/>
        <v>0</v>
      </c>
      <c r="J68" s="129">
        <f t="shared" si="19"/>
        <v>0</v>
      </c>
      <c r="K68" s="129">
        <f>IF(K64&gt;0,K64,0)</f>
        <v>0</v>
      </c>
      <c r="L68" s="129">
        <f t="shared" si="19"/>
        <v>0</v>
      </c>
      <c r="M68" s="129">
        <f t="shared" si="19"/>
        <v>0</v>
      </c>
      <c r="N68" s="129">
        <f t="shared" si="19"/>
        <v>0</v>
      </c>
      <c r="O68" s="129">
        <f t="shared" si="19"/>
        <v>0</v>
      </c>
      <c r="P68" s="129">
        <f t="shared" ca="1" si="19"/>
        <v>0</v>
      </c>
      <c r="Q68" s="129">
        <f t="shared" ca="1" si="19"/>
        <v>0</v>
      </c>
      <c r="R68" s="129">
        <f t="shared" ca="1" si="19"/>
        <v>0</v>
      </c>
      <c r="S68" s="129">
        <f t="shared" ca="1" si="19"/>
        <v>0</v>
      </c>
      <c r="T68" s="129">
        <f t="shared" ca="1" si="19"/>
        <v>0</v>
      </c>
      <c r="U68" s="129">
        <f t="shared" ca="1" si="19"/>
        <v>0</v>
      </c>
      <c r="V68" s="129">
        <f t="shared" ca="1" si="19"/>
        <v>0</v>
      </c>
      <c r="W68" s="129">
        <f t="shared" ca="1" si="19"/>
        <v>0</v>
      </c>
      <c r="X68" s="180"/>
    </row>
    <row r="69" spans="2:24" ht="17.25" customHeight="1" x14ac:dyDescent="0.2">
      <c r="B69" s="19"/>
      <c r="C69" s="54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168"/>
    </row>
    <row r="93" spans="2:23" ht="15.75" x14ac:dyDescent="0.25">
      <c r="B93" s="217" t="s">
        <v>131</v>
      </c>
    </row>
    <row r="94" spans="2:23" ht="15.75" x14ac:dyDescent="0.25">
      <c r="B94" s="200" t="s">
        <v>132</v>
      </c>
      <c r="C94" s="201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</row>
    <row r="95" spans="2:23" x14ac:dyDescent="0.2">
      <c r="B95" s="202" t="s">
        <v>66</v>
      </c>
      <c r="C95" s="203"/>
      <c r="D95" s="208">
        <f>SUM(D9:D21)-SUM('Tréso HT'!D8:D20)</f>
        <v>0</v>
      </c>
      <c r="E95" s="208">
        <f>SUM(E9:E21)-SUM('Tréso HT'!E8:E20)</f>
        <v>0</v>
      </c>
      <c r="F95" s="208">
        <f>SUM(F9:F21)-SUM('Tréso HT'!F8:F20)</f>
        <v>0</v>
      </c>
      <c r="G95" s="208">
        <f>SUM(G9:G21)-SUM('Tréso HT'!G8:G20)</f>
        <v>0</v>
      </c>
      <c r="H95" s="208">
        <f>SUM(H9:H21)-SUM('Tréso HT'!H8:H20)</f>
        <v>0</v>
      </c>
      <c r="I95" s="208">
        <f>SUM(I9:I21)-SUM('Tréso HT'!I8:I20)</f>
        <v>0</v>
      </c>
      <c r="J95" s="208">
        <f>SUM(J9:J21)-SUM('Tréso HT'!J8:J20)</f>
        <v>0</v>
      </c>
      <c r="K95" s="208">
        <f>SUM(K9:K21)-SUM('Tréso HT'!K8:K20)</f>
        <v>0</v>
      </c>
      <c r="L95" s="208">
        <f>SUM(L9:L21)-SUM('Tréso HT'!L8:L20)</f>
        <v>0</v>
      </c>
      <c r="M95" s="208">
        <f>SUM(M9:M21)-SUM('Tréso HT'!M8:M20)</f>
        <v>0</v>
      </c>
      <c r="N95" s="208">
        <f>SUM(N9:N21)-SUM('Tréso HT'!N8:N20)</f>
        <v>0</v>
      </c>
      <c r="O95" s="208">
        <f>SUM(O9:O21)-SUM('Tréso HT'!O8:O20)</f>
        <v>0</v>
      </c>
      <c r="P95" s="208">
        <f>SUM(P9:P21)-SUM('Tréso HT'!P8:P20)</f>
        <v>0</v>
      </c>
      <c r="Q95" s="208">
        <f>SUM(Q9:Q21)-SUM('Tréso HT'!Q8:Q20)</f>
        <v>0</v>
      </c>
      <c r="R95" s="208">
        <f>SUM(R9:R21)-SUM('Tréso HT'!R8:R20)</f>
        <v>0</v>
      </c>
      <c r="S95" s="208">
        <f>SUM(S9:S21)-SUM('Tréso HT'!S8:S20)</f>
        <v>0</v>
      </c>
      <c r="T95" s="208">
        <f>SUM(T9:T21)-SUM('Tréso HT'!T8:T20)</f>
        <v>0</v>
      </c>
      <c r="U95" s="208">
        <f>SUM(U9:U21)-SUM('Tréso HT'!U8:U20)</f>
        <v>0</v>
      </c>
      <c r="V95" s="208">
        <f>SUM(V9:V21)-SUM('Tréso HT'!V8:V20)</f>
        <v>0</v>
      </c>
      <c r="W95" s="208">
        <f>SUM(W9:W21)-SUM('Tréso HT'!W8:W20)</f>
        <v>0</v>
      </c>
    </row>
    <row r="96" spans="2:23" x14ac:dyDescent="0.2">
      <c r="B96" s="202" t="s">
        <v>67</v>
      </c>
      <c r="C96" s="203"/>
      <c r="D96" s="208">
        <f>SUM(D26:D52)-SUM('Tréso HT'!D25:D51)</f>
        <v>0</v>
      </c>
      <c r="E96" s="208">
        <f>SUM(E26:E52)-SUM('Tréso HT'!E25:E51)</f>
        <v>0</v>
      </c>
      <c r="F96" s="208">
        <f>SUM(F26:F52)-SUM('Tréso HT'!F25:F51)</f>
        <v>0</v>
      </c>
      <c r="G96" s="208">
        <f>SUM(G26:G52)-SUM('Tréso HT'!G25:G51)</f>
        <v>0</v>
      </c>
      <c r="H96" s="208">
        <f>SUM(H26:H52)-SUM('Tréso HT'!H25:H51)</f>
        <v>0</v>
      </c>
      <c r="I96" s="208">
        <f>SUM(I26:I52)-SUM('Tréso HT'!I25:I51)</f>
        <v>0</v>
      </c>
      <c r="J96" s="208">
        <f>SUM(J26:J52)-SUM('Tréso HT'!J25:J51)</f>
        <v>0</v>
      </c>
      <c r="K96" s="208">
        <f>SUM(K26:K52)-SUM('Tréso HT'!K25:K51)</f>
        <v>0</v>
      </c>
      <c r="L96" s="208">
        <f>SUM(L26:L52)-SUM('Tréso HT'!L25:L51)</f>
        <v>0</v>
      </c>
      <c r="M96" s="208">
        <f>SUM(M26:M52)-SUM('Tréso HT'!M25:M51)</f>
        <v>0</v>
      </c>
      <c r="N96" s="208">
        <f>SUM(N26:N52)-SUM('Tréso HT'!N25:N51)</f>
        <v>0</v>
      </c>
      <c r="O96" s="208">
        <f>SUM(O26:O52)-SUM('Tréso HT'!O25:O51)</f>
        <v>0</v>
      </c>
      <c r="P96" s="208">
        <f>SUM(P26:P52)-SUM('Tréso HT'!P25:P51)</f>
        <v>0</v>
      </c>
      <c r="Q96" s="208">
        <f>SUM(Q26:Q52)-SUM('Tréso HT'!Q25:Q51)</f>
        <v>0</v>
      </c>
      <c r="R96" s="208">
        <f>SUM(R26:R52)-SUM('Tréso HT'!R25:R51)</f>
        <v>0</v>
      </c>
      <c r="S96" s="208">
        <f>SUM(S26:S52)-SUM('Tréso HT'!S25:S51)</f>
        <v>0</v>
      </c>
      <c r="T96" s="208">
        <f>SUM(T26:T52)-SUM('Tréso HT'!T25:T51)</f>
        <v>0</v>
      </c>
      <c r="U96" s="208">
        <f>SUM(U26:U52)-SUM('Tréso HT'!U25:U51)</f>
        <v>0</v>
      </c>
      <c r="V96" s="208">
        <f>SUM(V26:V52)-SUM('Tréso HT'!V25:V51)</f>
        <v>0</v>
      </c>
      <c r="W96" s="208">
        <f>SUM(W26:W52)-SUM('Tréso HT'!W25:W51)</f>
        <v>0</v>
      </c>
    </row>
    <row r="97" spans="2:23" x14ac:dyDescent="0.2">
      <c r="B97" s="204" t="s">
        <v>120</v>
      </c>
      <c r="C97" s="205"/>
      <c r="D97" s="209">
        <f>D95-D96</f>
        <v>0</v>
      </c>
      <c r="E97" s="209">
        <f t="shared" ref="E97:W97" si="20">E95-E96</f>
        <v>0</v>
      </c>
      <c r="F97" s="209">
        <f t="shared" si="20"/>
        <v>0</v>
      </c>
      <c r="G97" s="209">
        <f t="shared" si="20"/>
        <v>0</v>
      </c>
      <c r="H97" s="209">
        <f t="shared" si="20"/>
        <v>0</v>
      </c>
      <c r="I97" s="209">
        <f t="shared" si="20"/>
        <v>0</v>
      </c>
      <c r="J97" s="209">
        <f t="shared" si="20"/>
        <v>0</v>
      </c>
      <c r="K97" s="209">
        <f t="shared" si="20"/>
        <v>0</v>
      </c>
      <c r="L97" s="209">
        <f t="shared" si="20"/>
        <v>0</v>
      </c>
      <c r="M97" s="209">
        <f t="shared" si="20"/>
        <v>0</v>
      </c>
      <c r="N97" s="209">
        <f t="shared" si="20"/>
        <v>0</v>
      </c>
      <c r="O97" s="209">
        <f t="shared" si="20"/>
        <v>0</v>
      </c>
      <c r="P97" s="209">
        <f t="shared" si="20"/>
        <v>0</v>
      </c>
      <c r="Q97" s="209">
        <f t="shared" si="20"/>
        <v>0</v>
      </c>
      <c r="R97" s="209">
        <f t="shared" si="20"/>
        <v>0</v>
      </c>
      <c r="S97" s="209">
        <f t="shared" si="20"/>
        <v>0</v>
      </c>
      <c r="T97" s="209">
        <f t="shared" si="20"/>
        <v>0</v>
      </c>
      <c r="U97" s="209">
        <f t="shared" si="20"/>
        <v>0</v>
      </c>
      <c r="V97" s="209">
        <f t="shared" si="20"/>
        <v>0</v>
      </c>
      <c r="W97" s="209">
        <f t="shared" si="20"/>
        <v>0</v>
      </c>
    </row>
    <row r="98" spans="2:23" hidden="1" x14ac:dyDescent="0.2">
      <c r="B98" s="199" t="s">
        <v>121</v>
      </c>
      <c r="D98" s="210">
        <f>IF(D52&lt;&gt;"",D97+(D52-'Tréso HT'!D51),D97)</f>
        <v>0</v>
      </c>
      <c r="E98" s="210">
        <f>IF(E52&lt;&gt;"",E97+(E52-'Tréso HT'!E51),E97)</f>
        <v>0</v>
      </c>
      <c r="F98" s="210">
        <f>IF(F52&lt;&gt;"",F97+(F52-'Tréso HT'!F51),F97)</f>
        <v>0</v>
      </c>
      <c r="G98" s="210">
        <f>IF(G52&lt;&gt;"",G97+(G52-'Tréso HT'!G51),G97)</f>
        <v>0</v>
      </c>
      <c r="H98" s="210">
        <f>IF(H52&lt;&gt;"",H97+(H52-'Tréso HT'!H51),H97)</f>
        <v>0</v>
      </c>
      <c r="I98" s="210">
        <f>IF(I52&lt;&gt;"",I97+(I52-'Tréso HT'!I51),I97)</f>
        <v>0</v>
      </c>
      <c r="J98" s="210">
        <f>IF(J52&lt;&gt;"",J97+(J52-'Tréso HT'!J51),J97)</f>
        <v>0</v>
      </c>
      <c r="K98" s="210">
        <f>IF(K52&lt;&gt;"",K97+(K52-'Tréso HT'!K51),K97)</f>
        <v>0</v>
      </c>
      <c r="L98" s="210">
        <f>IF(L52&lt;&gt;"",L97+(L52-'Tréso HT'!L51),L97)</f>
        <v>0</v>
      </c>
      <c r="M98" s="210">
        <f>IF(M52&lt;&gt;"",M97+(M52-'Tréso HT'!M51),M97)</f>
        <v>0</v>
      </c>
      <c r="N98" s="210">
        <f>IF(N52&lt;&gt;"",N97+(N52-'Tréso HT'!N51),N97)</f>
        <v>0</v>
      </c>
      <c r="O98" s="210">
        <f>IF(O52&lt;&gt;"",O97+(O52-'Tréso HT'!O51),O97)</f>
        <v>0</v>
      </c>
      <c r="P98" s="210">
        <f>IF(P52&lt;&gt;"",P97+(P52-'Tréso HT'!P51),P97)</f>
        <v>0</v>
      </c>
      <c r="Q98" s="210">
        <f>IF(Q52&lt;&gt;"",Q97+(Q52-'Tréso HT'!Q51),Q97)</f>
        <v>0</v>
      </c>
      <c r="R98" s="210">
        <f>IF(R52&lt;&gt;"",R97+(R52-'Tréso HT'!R51),R97)</f>
        <v>0</v>
      </c>
      <c r="S98" s="210">
        <f>IF(S52&lt;&gt;"",S97+(S52-'Tréso HT'!S51),S97)</f>
        <v>0</v>
      </c>
      <c r="T98" s="210">
        <f>IF(T52&lt;&gt;"",T97+(T52-'Tréso HT'!T51),T97)</f>
        <v>0</v>
      </c>
      <c r="U98" s="210">
        <f>IF(U52&lt;&gt;"",U97+(U52-'Tréso HT'!U51),U97)</f>
        <v>0</v>
      </c>
      <c r="V98" s="210">
        <f>IF(V52&lt;&gt;"",V97+(V52-'Tréso HT'!V51),V97)</f>
        <v>0</v>
      </c>
      <c r="W98" s="210">
        <f>IF(W52&lt;&gt;"",W97+(W52-'Tréso HT'!W51),W97)</f>
        <v>0</v>
      </c>
    </row>
    <row r="99" spans="2:23" hidden="1" x14ac:dyDescent="0.2">
      <c r="B99" s="1" t="s">
        <v>76</v>
      </c>
      <c r="D99" s="208">
        <f>D95-D96</f>
        <v>0</v>
      </c>
      <c r="E99" s="208">
        <f t="shared" ref="E99:M99" si="21">IF(D99&lt;0,E95-E96+D99,E95-E96)</f>
        <v>0</v>
      </c>
      <c r="F99" s="208">
        <f t="shared" si="21"/>
        <v>0</v>
      </c>
      <c r="G99" s="208">
        <f t="shared" si="21"/>
        <v>0</v>
      </c>
      <c r="H99" s="208">
        <f t="shared" si="21"/>
        <v>0</v>
      </c>
      <c r="I99" s="208">
        <f t="shared" si="21"/>
        <v>0</v>
      </c>
      <c r="J99" s="208">
        <f t="shared" si="21"/>
        <v>0</v>
      </c>
      <c r="K99" s="208">
        <f t="shared" si="21"/>
        <v>0</v>
      </c>
      <c r="L99" s="208">
        <f t="shared" si="21"/>
        <v>0</v>
      </c>
      <c r="M99" s="208">
        <f t="shared" si="21"/>
        <v>0</v>
      </c>
      <c r="N99" s="208">
        <f>N95-N96</f>
        <v>0</v>
      </c>
      <c r="O99" s="208">
        <f>O95-O96</f>
        <v>0</v>
      </c>
      <c r="P99" s="208">
        <f>P95-P96</f>
        <v>0</v>
      </c>
      <c r="Q99" s="208">
        <f t="shared" ref="Q99:W99" si="22">Q95-Q96</f>
        <v>0</v>
      </c>
      <c r="R99" s="208">
        <f t="shared" si="22"/>
        <v>0</v>
      </c>
      <c r="S99" s="208">
        <f t="shared" si="22"/>
        <v>0</v>
      </c>
      <c r="T99" s="208">
        <f t="shared" si="22"/>
        <v>0</v>
      </c>
      <c r="U99" s="208">
        <f t="shared" si="22"/>
        <v>0</v>
      </c>
      <c r="V99" s="208">
        <f t="shared" si="22"/>
        <v>0</v>
      </c>
      <c r="W99" s="208">
        <f t="shared" si="22"/>
        <v>0</v>
      </c>
    </row>
    <row r="100" spans="2:23" hidden="1" x14ac:dyDescent="0.2">
      <c r="D100" s="208">
        <f>IF(D99&lt;0,0,D99)</f>
        <v>0</v>
      </c>
      <c r="E100" s="208">
        <f>IF(E99&lt;0,0,E99)</f>
        <v>0</v>
      </c>
      <c r="F100" s="208">
        <f t="shared" ref="F100:M100" si="23">IF(F99&lt;0,0,F99)</f>
        <v>0</v>
      </c>
      <c r="G100" s="208">
        <f t="shared" si="23"/>
        <v>0</v>
      </c>
      <c r="H100" s="208">
        <f t="shared" si="23"/>
        <v>0</v>
      </c>
      <c r="I100" s="208">
        <f t="shared" si="23"/>
        <v>0</v>
      </c>
      <c r="J100" s="208">
        <f t="shared" si="23"/>
        <v>0</v>
      </c>
      <c r="K100" s="208">
        <f t="shared" si="23"/>
        <v>0</v>
      </c>
      <c r="L100" s="208">
        <f t="shared" si="23"/>
        <v>0</v>
      </c>
      <c r="M100" s="208">
        <f t="shared" si="23"/>
        <v>0</v>
      </c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</row>
    <row r="101" spans="2:23" ht="15" x14ac:dyDescent="0.25">
      <c r="B101" s="212" t="s">
        <v>133</v>
      </c>
      <c r="C101" s="201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</row>
    <row r="102" spans="2:23" x14ac:dyDescent="0.2">
      <c r="B102" s="204" t="s">
        <v>78</v>
      </c>
      <c r="C102" s="205" t="str">
        <f>IF('Tréso HT'!L1="TVA CA3 (déclaration mensuelle)","vrai","faux")</f>
        <v>faux</v>
      </c>
      <c r="D102" s="209" t="str">
        <f t="shared" ref="D102:L102" si="24">IF($C$102="vrai",IF(D99&lt;0,0,D99),"")</f>
        <v/>
      </c>
      <c r="E102" s="209" t="str">
        <f t="shared" si="24"/>
        <v/>
      </c>
      <c r="F102" s="209" t="str">
        <f t="shared" si="24"/>
        <v/>
      </c>
      <c r="G102" s="209" t="str">
        <f t="shared" si="24"/>
        <v/>
      </c>
      <c r="H102" s="209" t="str">
        <f t="shared" si="24"/>
        <v/>
      </c>
      <c r="I102" s="209" t="str">
        <f t="shared" si="24"/>
        <v/>
      </c>
      <c r="J102" s="209" t="str">
        <f t="shared" si="24"/>
        <v/>
      </c>
      <c r="K102" s="209" t="str">
        <f t="shared" si="24"/>
        <v/>
      </c>
      <c r="L102" s="209" t="str">
        <f t="shared" si="24"/>
        <v/>
      </c>
      <c r="M102" s="209" t="str">
        <f t="shared" ref="M102:W102" si="25">IF($C$102="vrai",IF(M99&lt;0,0,M99),"")</f>
        <v/>
      </c>
      <c r="N102" s="209" t="str">
        <f t="shared" si="25"/>
        <v/>
      </c>
      <c r="O102" s="209" t="str">
        <f t="shared" si="25"/>
        <v/>
      </c>
      <c r="P102" s="209" t="str">
        <f t="shared" si="25"/>
        <v/>
      </c>
      <c r="Q102" s="209" t="str">
        <f t="shared" si="25"/>
        <v/>
      </c>
      <c r="R102" s="209" t="str">
        <f t="shared" si="25"/>
        <v/>
      </c>
      <c r="S102" s="209" t="str">
        <f t="shared" si="25"/>
        <v/>
      </c>
      <c r="T102" s="209" t="str">
        <f t="shared" si="25"/>
        <v/>
      </c>
      <c r="U102" s="209" t="str">
        <f t="shared" si="25"/>
        <v/>
      </c>
      <c r="V102" s="209" t="str">
        <f t="shared" si="25"/>
        <v/>
      </c>
      <c r="W102" s="209" t="str">
        <f t="shared" si="25"/>
        <v/>
      </c>
    </row>
    <row r="103" spans="2:23" ht="15" x14ac:dyDescent="0.25">
      <c r="B103" s="212" t="s">
        <v>134</v>
      </c>
      <c r="C103" s="201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</row>
    <row r="104" spans="2:23" x14ac:dyDescent="0.2">
      <c r="B104" s="204" t="s">
        <v>77</v>
      </c>
      <c r="C104" s="205" t="str">
        <f>IF('Tréso HT'!L1="TVA CA3 (déclaration trimestrielle)","vrai","faux")</f>
        <v>faux</v>
      </c>
      <c r="D104" s="209" t="str">
        <f>IF($C$104="vrai",IF(OR(D5=5,D5=8,D5=11,D5=2),SUM(D100)),"")</f>
        <v/>
      </c>
      <c r="E104" s="209" t="str">
        <f>IF($C$104="vrai",IF(OR(E5=5,E5=8,E5=11,E5=2),SUM(D100,E100),""),"")</f>
        <v/>
      </c>
      <c r="F104" s="209" t="str">
        <f t="shared" ref="F104:L104" si="26">IF($C$104="vrai",IF(OR(F5=5,F5=8,F5=11,F5=2),SUM(D100,E100,F100),""),"")</f>
        <v/>
      </c>
      <c r="G104" s="209" t="str">
        <f t="shared" si="26"/>
        <v/>
      </c>
      <c r="H104" s="209" t="str">
        <f t="shared" si="26"/>
        <v/>
      </c>
      <c r="I104" s="209" t="str">
        <f t="shared" si="26"/>
        <v/>
      </c>
      <c r="J104" s="209" t="str">
        <f t="shared" si="26"/>
        <v/>
      </c>
      <c r="K104" s="209" t="str">
        <f t="shared" si="26"/>
        <v/>
      </c>
      <c r="L104" s="209" t="str">
        <f t="shared" si="26"/>
        <v/>
      </c>
      <c r="M104" s="209" t="str">
        <f t="shared" ref="M104:W104" si="27">IF($C$104="vrai",IF(OR(M5=5,M5=8,M5=11,M5=2),SUM(K100,L100,M100),""),"")</f>
        <v/>
      </c>
      <c r="N104" s="209" t="str">
        <f t="shared" si="27"/>
        <v/>
      </c>
      <c r="O104" s="209" t="str">
        <f t="shared" si="27"/>
        <v/>
      </c>
      <c r="P104" s="209" t="str">
        <f t="shared" si="27"/>
        <v/>
      </c>
      <c r="Q104" s="209" t="str">
        <f t="shared" si="27"/>
        <v/>
      </c>
      <c r="R104" s="209" t="str">
        <f t="shared" si="27"/>
        <v/>
      </c>
      <c r="S104" s="209" t="str">
        <f t="shared" si="27"/>
        <v/>
      </c>
      <c r="T104" s="209" t="str">
        <f t="shared" si="27"/>
        <v/>
      </c>
      <c r="U104" s="209" t="str">
        <f t="shared" si="27"/>
        <v/>
      </c>
      <c r="V104" s="209" t="str">
        <f t="shared" si="27"/>
        <v/>
      </c>
      <c r="W104" s="209" t="str">
        <f t="shared" si="27"/>
        <v/>
      </c>
    </row>
    <row r="105" spans="2:23" hidden="1" x14ac:dyDescent="0.2">
      <c r="B105" s="130" t="s">
        <v>75</v>
      </c>
      <c r="C105" s="45" t="e">
        <f>IF('Tréso HT'!#REF!="TVA RSA (acompte)","vrai","faux")</f>
        <v>#REF!</v>
      </c>
      <c r="D105" s="208" t="e">
        <f t="shared" ref="D105:W105" si="28">IF($C$105="vrai",IF($M$2&gt;1000,IF(D5=5,$M$2*0.2,IF(D5=8,$M$2*0.2,IF(D5=11,$M$2*0.2,IF(D5=2,$M$2*0.2,""))))),"")</f>
        <v>#REF!</v>
      </c>
      <c r="E105" s="208" t="e">
        <f t="shared" si="28"/>
        <v>#REF!</v>
      </c>
      <c r="F105" s="208" t="e">
        <f t="shared" si="28"/>
        <v>#REF!</v>
      </c>
      <c r="G105" s="208" t="e">
        <f t="shared" si="28"/>
        <v>#REF!</v>
      </c>
      <c r="H105" s="208" t="e">
        <f t="shared" si="28"/>
        <v>#REF!</v>
      </c>
      <c r="I105" s="208" t="e">
        <f t="shared" si="28"/>
        <v>#REF!</v>
      </c>
      <c r="J105" s="208" t="e">
        <f t="shared" si="28"/>
        <v>#REF!</v>
      </c>
      <c r="K105" s="208" t="e">
        <f t="shared" si="28"/>
        <v>#REF!</v>
      </c>
      <c r="L105" s="208" t="e">
        <f t="shared" si="28"/>
        <v>#REF!</v>
      </c>
      <c r="M105" s="208" t="e">
        <f t="shared" si="28"/>
        <v>#REF!</v>
      </c>
      <c r="N105" s="208" t="e">
        <f t="shared" si="28"/>
        <v>#REF!</v>
      </c>
      <c r="O105" s="208" t="e">
        <f t="shared" si="28"/>
        <v>#REF!</v>
      </c>
      <c r="P105" s="208" t="e">
        <f t="shared" si="28"/>
        <v>#REF!</v>
      </c>
      <c r="Q105" s="208" t="e">
        <f t="shared" si="28"/>
        <v>#REF!</v>
      </c>
      <c r="R105" s="208" t="e">
        <f t="shared" si="28"/>
        <v>#REF!</v>
      </c>
      <c r="S105" s="208" t="e">
        <f t="shared" si="28"/>
        <v>#REF!</v>
      </c>
      <c r="T105" s="208" t="e">
        <f t="shared" si="28"/>
        <v>#REF!</v>
      </c>
      <c r="U105" s="208" t="e">
        <f t="shared" si="28"/>
        <v>#REF!</v>
      </c>
      <c r="V105" s="208" t="e">
        <f t="shared" si="28"/>
        <v>#REF!</v>
      </c>
      <c r="W105" s="208" t="e">
        <f t="shared" si="28"/>
        <v>#REF!</v>
      </c>
    </row>
    <row r="106" spans="2:23" hidden="1" x14ac:dyDescent="0.2">
      <c r="D106" s="208" t="e">
        <f>SUM(D102:D105)</f>
        <v>#REF!</v>
      </c>
      <c r="E106" s="208" t="e">
        <f t="shared" ref="E106:M106" si="29">SUM(E102:E105)</f>
        <v>#REF!</v>
      </c>
      <c r="F106" s="208" t="e">
        <f t="shared" si="29"/>
        <v>#REF!</v>
      </c>
      <c r="G106" s="208" t="e">
        <f t="shared" si="29"/>
        <v>#REF!</v>
      </c>
      <c r="H106" s="208" t="e">
        <f t="shared" si="29"/>
        <v>#REF!</v>
      </c>
      <c r="I106" s="208" t="e">
        <f t="shared" si="29"/>
        <v>#REF!</v>
      </c>
      <c r="J106" s="208" t="e">
        <f t="shared" si="29"/>
        <v>#REF!</v>
      </c>
      <c r="K106" s="208" t="e">
        <f t="shared" si="29"/>
        <v>#REF!</v>
      </c>
      <c r="L106" s="208" t="e">
        <f t="shared" si="29"/>
        <v>#REF!</v>
      </c>
      <c r="M106" s="208" t="e">
        <f t="shared" si="29"/>
        <v>#REF!</v>
      </c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</row>
    <row r="107" spans="2:23" hidden="1" x14ac:dyDescent="0.2">
      <c r="D107" s="208"/>
      <c r="E107" s="208"/>
      <c r="F107" s="208"/>
      <c r="G107" s="20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</row>
    <row r="108" spans="2:23" hidden="1" x14ac:dyDescent="0.2">
      <c r="D108" s="208"/>
      <c r="E108" s="208"/>
      <c r="F108" s="208"/>
      <c r="G108" s="20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</row>
    <row r="109" spans="2:23" hidden="1" x14ac:dyDescent="0.2">
      <c r="B109" s="1" t="s">
        <v>83</v>
      </c>
      <c r="D109" s="208">
        <f>SUMIF(D6:W6,D6,D99:W99)+'Tréso HT'!L3</f>
        <v>0</v>
      </c>
      <c r="E109" s="208"/>
      <c r="F109" s="208"/>
      <c r="G109" s="20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</row>
    <row r="110" spans="2:23" hidden="1" x14ac:dyDescent="0.2">
      <c r="B110" s="1" t="s">
        <v>84</v>
      </c>
      <c r="D110" s="208">
        <f>SUMIF(E6:W6,D6+1,E99:W99)</f>
        <v>0</v>
      </c>
      <c r="E110" s="208"/>
      <c r="F110" s="208"/>
      <c r="G110" s="20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</row>
    <row r="111" spans="2:23" hidden="1" x14ac:dyDescent="0.2">
      <c r="B111" s="1" t="s">
        <v>86</v>
      </c>
      <c r="D111" s="208" t="str">
        <f t="shared" ref="D111:Q111" si="30">IF(D6=$D$6,IF(OR(D5=5,D5=8,D5=11,D5=2),"acompte1",IF(AND(D6=$D$6+1,D5=2),"acompte1","")),IF(D6=$D$6+1,IF(OR(D5=5,D5=8,D5=11),"acompte2",IF(AND(D6=$D$6+1,D5=2),"acompte1",""))))</f>
        <v>acompte1</v>
      </c>
      <c r="E111" s="208" t="str">
        <f t="shared" si="30"/>
        <v/>
      </c>
      <c r="F111" s="208" t="str">
        <f t="shared" si="30"/>
        <v/>
      </c>
      <c r="G111" s="208" t="str">
        <f t="shared" si="30"/>
        <v>acompte1</v>
      </c>
      <c r="H111" s="208" t="str">
        <f t="shared" si="30"/>
        <v/>
      </c>
      <c r="I111" s="208" t="str">
        <f t="shared" si="30"/>
        <v/>
      </c>
      <c r="J111" s="208" t="str">
        <f t="shared" si="30"/>
        <v>acompte1</v>
      </c>
      <c r="K111" s="208" t="str">
        <f t="shared" si="30"/>
        <v/>
      </c>
      <c r="L111" s="208" t="str">
        <f t="shared" si="30"/>
        <v/>
      </c>
      <c r="M111" s="208" t="str">
        <f t="shared" si="30"/>
        <v>acompte1</v>
      </c>
      <c r="N111" s="208" t="str">
        <f t="shared" si="30"/>
        <v/>
      </c>
      <c r="O111" s="208" t="str">
        <f t="shared" si="30"/>
        <v/>
      </c>
      <c r="P111" s="208" t="str">
        <f t="shared" si="30"/>
        <v>acompte2</v>
      </c>
      <c r="Q111" s="208" t="str">
        <f t="shared" si="30"/>
        <v/>
      </c>
      <c r="R111" s="208" t="str">
        <f t="shared" ref="R111:W111" si="31">IF(R6=$D$6,IF(OR(R5=5,R5=8,R5=11,R5=2),"acompte1",IF(AND(R6=$D$6+1,R5=2),"acompte1","")),IF(R6=$D$6+1,IF(OR(R5=5,R5=8,R5=11),"acompte2",IF(AND(R6=$D$6+1,R5=2),"acompte1","")),""))</f>
        <v/>
      </c>
      <c r="S111" s="208" t="str">
        <f t="shared" si="31"/>
        <v>acompte2</v>
      </c>
      <c r="T111" s="208" t="str">
        <f t="shared" si="31"/>
        <v/>
      </c>
      <c r="U111" s="208" t="str">
        <f t="shared" si="31"/>
        <v/>
      </c>
      <c r="V111" s="208" t="str">
        <f t="shared" si="31"/>
        <v>acompte2</v>
      </c>
      <c r="W111" s="208" t="str">
        <f t="shared" si="31"/>
        <v/>
      </c>
    </row>
    <row r="112" spans="2:23" hidden="1" x14ac:dyDescent="0.2">
      <c r="B112" s="1" t="s">
        <v>87</v>
      </c>
      <c r="D112" s="208" t="str">
        <f t="shared" ref="D112:W112" si="32">IF(D6=$D$6+2,IF(OR(D5=5,D5=8,D5=11),"acompte3",IF(AND(D6=$D$6+2,D5=2),"acompte2","")),"")</f>
        <v/>
      </c>
      <c r="E112" s="208" t="str">
        <f t="shared" si="32"/>
        <v/>
      </c>
      <c r="F112" s="208" t="str">
        <f t="shared" si="32"/>
        <v/>
      </c>
      <c r="G112" s="208" t="str">
        <f t="shared" si="32"/>
        <v/>
      </c>
      <c r="H112" s="208" t="str">
        <f t="shared" si="32"/>
        <v/>
      </c>
      <c r="I112" s="208" t="str">
        <f t="shared" si="32"/>
        <v/>
      </c>
      <c r="J112" s="208" t="str">
        <f t="shared" si="32"/>
        <v/>
      </c>
      <c r="K112" s="208" t="str">
        <f t="shared" si="32"/>
        <v/>
      </c>
      <c r="L112" s="208" t="str">
        <f t="shared" si="32"/>
        <v/>
      </c>
      <c r="M112" s="208" t="str">
        <f t="shared" si="32"/>
        <v/>
      </c>
      <c r="N112" s="208" t="str">
        <f t="shared" si="32"/>
        <v/>
      </c>
      <c r="O112" s="208" t="str">
        <f t="shared" si="32"/>
        <v/>
      </c>
      <c r="P112" s="208" t="str">
        <f t="shared" si="32"/>
        <v/>
      </c>
      <c r="Q112" s="208" t="str">
        <f t="shared" si="32"/>
        <v/>
      </c>
      <c r="R112" s="208" t="str">
        <f t="shared" si="32"/>
        <v/>
      </c>
      <c r="S112" s="208" t="str">
        <f t="shared" si="32"/>
        <v/>
      </c>
      <c r="T112" s="208" t="str">
        <f t="shared" si="32"/>
        <v/>
      </c>
      <c r="U112" s="208" t="str">
        <f t="shared" si="32"/>
        <v/>
      </c>
      <c r="V112" s="208" t="str">
        <f t="shared" si="32"/>
        <v/>
      </c>
      <c r="W112" s="208" t="str">
        <f t="shared" si="32"/>
        <v/>
      </c>
    </row>
    <row r="113" spans="2:23" hidden="1" x14ac:dyDescent="0.2">
      <c r="B113" s="1" t="s">
        <v>88</v>
      </c>
      <c r="D113" s="208" t="str">
        <f t="shared" ref="D113:W113" si="33">IF(D111="",IF(D112="","",D112),D111)</f>
        <v>acompte1</v>
      </c>
      <c r="E113" s="208" t="str">
        <f t="shared" si="33"/>
        <v/>
      </c>
      <c r="F113" s="208" t="str">
        <f t="shared" si="33"/>
        <v/>
      </c>
      <c r="G113" s="208" t="str">
        <f t="shared" si="33"/>
        <v>acompte1</v>
      </c>
      <c r="H113" s="208" t="str">
        <f t="shared" si="33"/>
        <v/>
      </c>
      <c r="I113" s="208" t="str">
        <f t="shared" si="33"/>
        <v/>
      </c>
      <c r="J113" s="208" t="str">
        <f t="shared" si="33"/>
        <v>acompte1</v>
      </c>
      <c r="K113" s="208" t="str">
        <f t="shared" si="33"/>
        <v/>
      </c>
      <c r="L113" s="208" t="str">
        <f t="shared" si="33"/>
        <v/>
      </c>
      <c r="M113" s="208" t="str">
        <f t="shared" si="33"/>
        <v>acompte1</v>
      </c>
      <c r="N113" s="208" t="str">
        <f t="shared" si="33"/>
        <v/>
      </c>
      <c r="O113" s="208" t="str">
        <f t="shared" si="33"/>
        <v/>
      </c>
      <c r="P113" s="208" t="str">
        <f t="shared" si="33"/>
        <v>acompte2</v>
      </c>
      <c r="Q113" s="208" t="str">
        <f t="shared" si="33"/>
        <v/>
      </c>
      <c r="R113" s="208" t="str">
        <f t="shared" si="33"/>
        <v/>
      </c>
      <c r="S113" s="208" t="str">
        <f t="shared" si="33"/>
        <v>acompte2</v>
      </c>
      <c r="T113" s="208" t="str">
        <f t="shared" si="33"/>
        <v/>
      </c>
      <c r="U113" s="208" t="str">
        <f t="shared" si="33"/>
        <v/>
      </c>
      <c r="V113" s="208" t="str">
        <f t="shared" si="33"/>
        <v>acompte2</v>
      </c>
      <c r="W113" s="208" t="str">
        <f t="shared" si="33"/>
        <v/>
      </c>
    </row>
    <row r="114" spans="2:23" hidden="1" x14ac:dyDescent="0.2">
      <c r="B114" s="1" t="s">
        <v>89</v>
      </c>
      <c r="D114" s="208" t="str">
        <f t="shared" ref="D114:W114" si="34">IF(AND(D5=5,D6=$D$6),"solde1",IF(AND(D5=5,D6=$D$6+1),"solde2",IF(AND(D5=5,D6=$D$6+2),"solde3","")))</f>
        <v>solde1</v>
      </c>
      <c r="E114" s="208" t="str">
        <f t="shared" si="34"/>
        <v/>
      </c>
      <c r="F114" s="208" t="str">
        <f t="shared" si="34"/>
        <v/>
      </c>
      <c r="G114" s="208" t="str">
        <f t="shared" si="34"/>
        <v/>
      </c>
      <c r="H114" s="208" t="str">
        <f t="shared" si="34"/>
        <v/>
      </c>
      <c r="I114" s="208" t="str">
        <f t="shared" si="34"/>
        <v/>
      </c>
      <c r="J114" s="208" t="str">
        <f t="shared" si="34"/>
        <v/>
      </c>
      <c r="K114" s="208" t="str">
        <f t="shared" si="34"/>
        <v/>
      </c>
      <c r="L114" s="208" t="str">
        <f t="shared" si="34"/>
        <v/>
      </c>
      <c r="M114" s="208" t="str">
        <f t="shared" si="34"/>
        <v/>
      </c>
      <c r="N114" s="208" t="str">
        <f t="shared" si="34"/>
        <v/>
      </c>
      <c r="O114" s="208" t="str">
        <f t="shared" si="34"/>
        <v/>
      </c>
      <c r="P114" s="208" t="str">
        <f t="shared" si="34"/>
        <v>solde2</v>
      </c>
      <c r="Q114" s="208" t="str">
        <f t="shared" si="34"/>
        <v/>
      </c>
      <c r="R114" s="208" t="str">
        <f t="shared" si="34"/>
        <v/>
      </c>
      <c r="S114" s="208" t="str">
        <f t="shared" si="34"/>
        <v/>
      </c>
      <c r="T114" s="208" t="str">
        <f t="shared" si="34"/>
        <v/>
      </c>
      <c r="U114" s="208" t="str">
        <f t="shared" si="34"/>
        <v/>
      </c>
      <c r="V114" s="208" t="str">
        <f t="shared" si="34"/>
        <v/>
      </c>
      <c r="W114" s="208" t="str">
        <f t="shared" si="34"/>
        <v/>
      </c>
    </row>
    <row r="115" spans="2:23" hidden="1" x14ac:dyDescent="0.2">
      <c r="D115" s="208"/>
      <c r="E115" s="208"/>
      <c r="F115" s="208"/>
      <c r="G115" s="208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</row>
    <row r="116" spans="2:23" ht="15" x14ac:dyDescent="0.25">
      <c r="B116" s="212" t="s">
        <v>135</v>
      </c>
      <c r="C116" s="201"/>
      <c r="D116" s="207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  <c r="T116" s="207"/>
      <c r="U116" s="207"/>
      <c r="V116" s="207"/>
      <c r="W116" s="207"/>
    </row>
    <row r="117" spans="2:23" x14ac:dyDescent="0.2">
      <c r="B117" s="202" t="s">
        <v>92</v>
      </c>
      <c r="C117" s="203" t="str">
        <f>IF('Tréso HT'!L1='type TVA'!A2,"vrai","faux")</f>
        <v>vrai</v>
      </c>
      <c r="D117" s="208" t="b">
        <f>IF(D113="acompte1",IF($L$2&gt;1000,$L$2*0.2),IF(D113="acompte2",(SUMIF($D$6:$W$6,$D$6,$D$98:$P$98)+$L$3)*0.2,""))</f>
        <v>0</v>
      </c>
      <c r="E117" s="208" t="str">
        <f t="shared" ref="E117:V117" si="35">IF(E113="acompte1",IF($L$2&gt;1000,$L$2*0.2),IF(E113="acompte2",(SUMIF($D$6:$W$6,$D$6,$D$98:$P$98)+$L$3)*0.2,""))</f>
        <v/>
      </c>
      <c r="F117" s="208" t="str">
        <f t="shared" si="35"/>
        <v/>
      </c>
      <c r="G117" s="208" t="b">
        <f t="shared" si="35"/>
        <v>0</v>
      </c>
      <c r="H117" s="208" t="str">
        <f t="shared" si="35"/>
        <v/>
      </c>
      <c r="I117" s="208" t="str">
        <f t="shared" si="35"/>
        <v/>
      </c>
      <c r="J117" s="208" t="b">
        <f t="shared" si="35"/>
        <v>0</v>
      </c>
      <c r="K117" s="208" t="str">
        <f t="shared" si="35"/>
        <v/>
      </c>
      <c r="L117" s="208" t="str">
        <f t="shared" si="35"/>
        <v/>
      </c>
      <c r="M117" s="208" t="b">
        <f t="shared" si="35"/>
        <v>0</v>
      </c>
      <c r="N117" s="208" t="str">
        <f t="shared" si="35"/>
        <v/>
      </c>
      <c r="O117" s="208" t="str">
        <f t="shared" si="35"/>
        <v/>
      </c>
      <c r="P117" s="208">
        <f t="shared" ca="1" si="35"/>
        <v>0</v>
      </c>
      <c r="Q117" s="208" t="str">
        <f t="shared" si="35"/>
        <v/>
      </c>
      <c r="R117" s="208" t="str">
        <f t="shared" si="35"/>
        <v/>
      </c>
      <c r="S117" s="208">
        <f t="shared" ca="1" si="35"/>
        <v>0</v>
      </c>
      <c r="T117" s="208" t="str">
        <f t="shared" si="35"/>
        <v/>
      </c>
      <c r="U117" s="208" t="str">
        <f t="shared" si="35"/>
        <v/>
      </c>
      <c r="V117" s="208">
        <f t="shared" ca="1" si="35"/>
        <v>0</v>
      </c>
      <c r="W117" s="208" t="str">
        <f>IF(W113="acompte1",IF($L$2&gt;1000,$L$2*0.2),IF(W113="acompte2",(SUMIF($D$6:$W$6,$D$6,$D$98:$P$98)+$L$3)*0.2,""))</f>
        <v/>
      </c>
    </row>
    <row r="118" spans="2:23" x14ac:dyDescent="0.2">
      <c r="B118" s="202" t="s">
        <v>93</v>
      </c>
      <c r="C118" s="203" t="str">
        <f>IF('Tréso HT'!L1='type TVA'!A2,"vrai","faux")</f>
        <v>vrai</v>
      </c>
      <c r="D118" s="208">
        <f t="shared" ref="D118:W118" si="36">IF(D114="solde2",SUMIF($D$6:$W$6,$D$6,$D$99:$W$99)-($L$2*0.8)+$L$3,IF(D114="solde3",SUMIF($D$6:$W$6,$D$6+1,$D$99:$W$99)-SUMIF($D$113:$W$113,"acompte1",$D$117:$W$117),IF(D114="solde1",IF($L$2&lt;1000,$L$2,$L$2-$L$2*0.8),"")))</f>
        <v>0</v>
      </c>
      <c r="E118" s="208" t="str">
        <f t="shared" si="36"/>
        <v/>
      </c>
      <c r="F118" s="208" t="str">
        <f t="shared" si="36"/>
        <v/>
      </c>
      <c r="G118" s="208" t="str">
        <f t="shared" si="36"/>
        <v/>
      </c>
      <c r="H118" s="208" t="str">
        <f t="shared" si="36"/>
        <v/>
      </c>
      <c r="I118" s="208" t="str">
        <f t="shared" si="36"/>
        <v/>
      </c>
      <c r="J118" s="208" t="str">
        <f t="shared" si="36"/>
        <v/>
      </c>
      <c r="K118" s="208" t="str">
        <f t="shared" si="36"/>
        <v/>
      </c>
      <c r="L118" s="208" t="str">
        <f t="shared" si="36"/>
        <v/>
      </c>
      <c r="M118" s="208" t="str">
        <f t="shared" si="36"/>
        <v/>
      </c>
      <c r="N118" s="208" t="str">
        <f t="shared" si="36"/>
        <v/>
      </c>
      <c r="O118" s="208" t="str">
        <f t="shared" si="36"/>
        <v/>
      </c>
      <c r="P118" s="208">
        <f t="shared" si="36"/>
        <v>0</v>
      </c>
      <c r="Q118" s="208" t="str">
        <f t="shared" si="36"/>
        <v/>
      </c>
      <c r="R118" s="208" t="str">
        <f t="shared" si="36"/>
        <v/>
      </c>
      <c r="S118" s="208" t="str">
        <f t="shared" si="36"/>
        <v/>
      </c>
      <c r="T118" s="208" t="str">
        <f t="shared" si="36"/>
        <v/>
      </c>
      <c r="U118" s="208" t="str">
        <f t="shared" si="36"/>
        <v/>
      </c>
      <c r="V118" s="208" t="str">
        <f t="shared" si="36"/>
        <v/>
      </c>
      <c r="W118" s="208" t="str">
        <f t="shared" si="36"/>
        <v/>
      </c>
    </row>
    <row r="119" spans="2:23" x14ac:dyDescent="0.2">
      <c r="B119" s="206" t="s">
        <v>129</v>
      </c>
      <c r="C119" s="205" t="str">
        <f>IF('Tréso HT'!L1='type TVA'!A2,"vrai","faux")</f>
        <v>vrai</v>
      </c>
      <c r="D119" s="209">
        <f>IF($C$119="vrai",SUM(D117:D118),"")</f>
        <v>0</v>
      </c>
      <c r="E119" s="209">
        <f t="shared" ref="E119:K119" si="37">IF($C$119="vrai",SUM(E117:E118),"")</f>
        <v>0</v>
      </c>
      <c r="F119" s="209">
        <f t="shared" si="37"/>
        <v>0</v>
      </c>
      <c r="G119" s="209">
        <f t="shared" si="37"/>
        <v>0</v>
      </c>
      <c r="H119" s="209">
        <f t="shared" si="37"/>
        <v>0</v>
      </c>
      <c r="I119" s="209">
        <f t="shared" si="37"/>
        <v>0</v>
      </c>
      <c r="J119" s="209">
        <f t="shared" si="37"/>
        <v>0</v>
      </c>
      <c r="K119" s="209">
        <f t="shared" si="37"/>
        <v>0</v>
      </c>
      <c r="L119" s="209">
        <f t="shared" ref="L119" si="38">IF($C$119="vrai",SUM(L117:L118),"")</f>
        <v>0</v>
      </c>
      <c r="M119" s="209">
        <f t="shared" ref="M119" si="39">IF($C$119="vrai",SUM(M117:M118),"")</f>
        <v>0</v>
      </c>
      <c r="N119" s="209">
        <f t="shared" ref="N119" si="40">IF($C$119="vrai",SUM(N117:N118),"")</f>
        <v>0</v>
      </c>
      <c r="O119" s="209">
        <f t="shared" ref="O119" si="41">IF($C$119="vrai",SUM(O117:O118),"")</f>
        <v>0</v>
      </c>
      <c r="P119" s="209">
        <f t="shared" ref="P119" ca="1" si="42">IF($C$119="vrai",SUM(P117:P118),"")</f>
        <v>0</v>
      </c>
      <c r="Q119" s="209">
        <f t="shared" ref="Q119:R119" si="43">IF($C$119="vrai",SUM(Q117:Q118),"")</f>
        <v>0</v>
      </c>
      <c r="R119" s="209">
        <f t="shared" si="43"/>
        <v>0</v>
      </c>
      <c r="S119" s="209">
        <f t="shared" ref="S119" ca="1" si="44">IF($C$119="vrai",SUM(S117:S118),"")</f>
        <v>0</v>
      </c>
      <c r="T119" s="209">
        <f t="shared" ref="T119" si="45">IF($C$119="vrai",SUM(T117:T118),"")</f>
        <v>0</v>
      </c>
      <c r="U119" s="209">
        <f t="shared" ref="U119" si="46">IF($C$119="vrai",SUM(U117:U118),"")</f>
        <v>0</v>
      </c>
      <c r="V119" s="209">
        <f t="shared" ref="V119" ca="1" si="47">IF($C$119="vrai",SUM(V117:V118),"")</f>
        <v>0</v>
      </c>
      <c r="W119" s="209">
        <f t="shared" ref="W119" si="48">IF($C$119="vrai",SUM(W117:W118),"")</f>
        <v>0</v>
      </c>
    </row>
    <row r="120" spans="2:23" hidden="1" x14ac:dyDescent="0.2">
      <c r="D120" s="208"/>
      <c r="E120" s="208"/>
      <c r="F120" s="208"/>
      <c r="G120" s="208"/>
      <c r="H120" s="208"/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</row>
    <row r="121" spans="2:23" hidden="1" x14ac:dyDescent="0.2">
      <c r="D121" s="6" t="s">
        <v>119</v>
      </c>
      <c r="E121" s="208" t="str">
        <f t="shared" ref="E121:W121" si="49">IF($D$6=E6,IF(OR(E5&lt;=$Q$2,AND($D$5&gt;$Q$2,E5&gt;=$Q$2)),"année1",IF(AND($D$5&lt;$Q$2,E5&gt;$Q$2),"année2")),IF(E6=$D$6+1,IF(AND($D$5&gt;$Q$2,E5&lt;=$Q$2),"année1",IF(OR(AND($D$5&lt;$Q$2,E5&lt;=$Q$2),AND($D$5&gt;$Q$2,E5&gt;$Q$2)),"année2","année3")),IF(E6=$D$6+2,IF(AND($D$5&gt;$Q$2,E5&lt;=$Q$2),"année2"),"année3")))</f>
        <v>année1</v>
      </c>
      <c r="F121" s="208" t="str">
        <f t="shared" si="49"/>
        <v>année1</v>
      </c>
      <c r="G121" s="208" t="str">
        <f t="shared" si="49"/>
        <v>année1</v>
      </c>
      <c r="H121" s="208" t="str">
        <f t="shared" si="49"/>
        <v>année1</v>
      </c>
      <c r="I121" s="208" t="str">
        <f t="shared" si="49"/>
        <v>année1</v>
      </c>
      <c r="J121" s="208" t="str">
        <f t="shared" si="49"/>
        <v>année1</v>
      </c>
      <c r="K121" s="208" t="str">
        <f t="shared" si="49"/>
        <v>année1</v>
      </c>
      <c r="L121" s="208" t="str">
        <f t="shared" si="49"/>
        <v>année1</v>
      </c>
      <c r="M121" s="208" t="str">
        <f t="shared" si="49"/>
        <v>année2</v>
      </c>
      <c r="N121" s="208" t="str">
        <f t="shared" si="49"/>
        <v>année2</v>
      </c>
      <c r="O121" s="208" t="str">
        <f t="shared" si="49"/>
        <v>année2</v>
      </c>
      <c r="P121" s="208" t="str">
        <f t="shared" si="49"/>
        <v>année2</v>
      </c>
      <c r="Q121" s="208" t="str">
        <f t="shared" si="49"/>
        <v>année2</v>
      </c>
      <c r="R121" s="208" t="str">
        <f t="shared" si="49"/>
        <v>année2</v>
      </c>
      <c r="S121" s="208" t="str">
        <f t="shared" si="49"/>
        <v>année2</v>
      </c>
      <c r="T121" s="208" t="str">
        <f t="shared" si="49"/>
        <v>année2</v>
      </c>
      <c r="U121" s="208" t="str">
        <f t="shared" si="49"/>
        <v>année2</v>
      </c>
      <c r="V121" s="208" t="str">
        <f t="shared" si="49"/>
        <v>année2</v>
      </c>
      <c r="W121" s="208" t="str">
        <f t="shared" si="49"/>
        <v>année2</v>
      </c>
    </row>
    <row r="122" spans="2:23" hidden="1" x14ac:dyDescent="0.2">
      <c r="D122" s="6" t="str">
        <f t="shared" ref="D122:W122" si="50">IF(AND(D121="année1",OR(D5=5,D5=8,D5=11,D5=2)),"acompte1",IF(AND(D121="année2",OR(D5=5,D5=8,D5=11,D5=2)),"acompte2",IF(AND(D121="année3",OR(D5=5,D5=8,D5=11,D5=2)),"acompte3","")))</f>
        <v>acompte1</v>
      </c>
      <c r="E122" s="6" t="str">
        <f t="shared" si="50"/>
        <v/>
      </c>
      <c r="F122" s="6" t="str">
        <f t="shared" si="50"/>
        <v/>
      </c>
      <c r="G122" s="6" t="str">
        <f t="shared" si="50"/>
        <v>acompte1</v>
      </c>
      <c r="H122" s="6" t="str">
        <f t="shared" si="50"/>
        <v/>
      </c>
      <c r="I122" s="6" t="str">
        <f t="shared" si="50"/>
        <v/>
      </c>
      <c r="J122" s="6" t="str">
        <f t="shared" si="50"/>
        <v>acompte1</v>
      </c>
      <c r="K122" s="6" t="str">
        <f t="shared" si="50"/>
        <v/>
      </c>
      <c r="L122" s="6" t="str">
        <f t="shared" si="50"/>
        <v/>
      </c>
      <c r="M122" s="6" t="str">
        <f t="shared" si="50"/>
        <v>acompte2</v>
      </c>
      <c r="N122" s="6" t="str">
        <f t="shared" si="50"/>
        <v/>
      </c>
      <c r="O122" s="6" t="str">
        <f t="shared" si="50"/>
        <v/>
      </c>
      <c r="P122" s="6" t="str">
        <f t="shared" si="50"/>
        <v>acompte2</v>
      </c>
      <c r="Q122" s="6" t="str">
        <f t="shared" si="50"/>
        <v/>
      </c>
      <c r="R122" s="6" t="str">
        <f t="shared" si="50"/>
        <v/>
      </c>
      <c r="S122" s="6" t="str">
        <f t="shared" si="50"/>
        <v>acompte2</v>
      </c>
      <c r="T122" s="6" t="str">
        <f t="shared" si="50"/>
        <v/>
      </c>
      <c r="U122" s="6" t="str">
        <f t="shared" si="50"/>
        <v/>
      </c>
      <c r="V122" s="6" t="str">
        <f t="shared" si="50"/>
        <v>acompte2</v>
      </c>
      <c r="W122" s="6" t="str">
        <f t="shared" si="50"/>
        <v/>
      </c>
    </row>
    <row r="123" spans="2:23" hidden="1" x14ac:dyDescent="0.2">
      <c r="D123" s="6" t="str">
        <f t="shared" ref="D123:W123" si="51">IF(D5=$Q$2+5,IF(D121="année1","solde0",IF(D121="année2","solde1",IF(D121="année3","solde2"))),"")</f>
        <v/>
      </c>
      <c r="E123" s="6" t="str">
        <f t="shared" si="51"/>
        <v>solde0</v>
      </c>
      <c r="F123" s="6" t="str">
        <f t="shared" si="51"/>
        <v/>
      </c>
      <c r="G123" s="6" t="str">
        <f t="shared" si="51"/>
        <v/>
      </c>
      <c r="H123" s="6" t="str">
        <f t="shared" si="51"/>
        <v/>
      </c>
      <c r="I123" s="6" t="str">
        <f t="shared" si="51"/>
        <v/>
      </c>
      <c r="J123" s="6" t="str">
        <f t="shared" si="51"/>
        <v/>
      </c>
      <c r="K123" s="6" t="str">
        <f t="shared" si="51"/>
        <v/>
      </c>
      <c r="L123" s="6" t="str">
        <f t="shared" si="51"/>
        <v/>
      </c>
      <c r="M123" s="6" t="str">
        <f t="shared" si="51"/>
        <v/>
      </c>
      <c r="N123" s="6" t="str">
        <f t="shared" si="51"/>
        <v/>
      </c>
      <c r="O123" s="6" t="str">
        <f t="shared" si="51"/>
        <v/>
      </c>
      <c r="P123" s="6" t="str">
        <f t="shared" si="51"/>
        <v/>
      </c>
      <c r="Q123" s="6" t="str">
        <f t="shared" si="51"/>
        <v>solde1</v>
      </c>
      <c r="R123" s="6" t="str">
        <f t="shared" si="51"/>
        <v/>
      </c>
      <c r="S123" s="6" t="str">
        <f t="shared" si="51"/>
        <v/>
      </c>
      <c r="T123" s="6" t="str">
        <f t="shared" si="51"/>
        <v/>
      </c>
      <c r="U123" s="6" t="str">
        <f t="shared" si="51"/>
        <v/>
      </c>
      <c r="V123" s="6" t="str">
        <f t="shared" si="51"/>
        <v/>
      </c>
      <c r="W123" s="6" t="str">
        <f t="shared" si="51"/>
        <v/>
      </c>
    </row>
    <row r="124" spans="2:23" ht="15" x14ac:dyDescent="0.25">
      <c r="B124" s="212" t="s">
        <v>136</v>
      </c>
      <c r="C124" s="201"/>
      <c r="D124" s="211"/>
      <c r="E124" s="211"/>
      <c r="F124" s="211"/>
      <c r="G124" s="211"/>
      <c r="H124" s="211"/>
      <c r="I124" s="211"/>
      <c r="J124" s="211"/>
      <c r="K124" s="21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/>
      <c r="V124" s="211"/>
      <c r="W124" s="211"/>
    </row>
    <row r="125" spans="2:23" x14ac:dyDescent="0.2">
      <c r="B125" s="202" t="s">
        <v>94</v>
      </c>
      <c r="C125" s="203" t="str">
        <f>IF('Tréso HT'!L1='type TVA'!A3,"vrai","faux")</f>
        <v>faux</v>
      </c>
      <c r="D125" s="208">
        <f t="shared" ref="D125:V125" si="52">IF(D122="acompte1",$L$2*0.2,IF(D122="acompte2",(SUMIF($D121:$W121,"année1",$D98:$W98)+$L$3)*0.2,IF(D122="acompte3",(SUMIF($D121:$W121,"année2",$D98:$W98))*0.2,"")))</f>
        <v>0</v>
      </c>
      <c r="E125" s="208" t="str">
        <f t="shared" si="52"/>
        <v/>
      </c>
      <c r="F125" s="208" t="str">
        <f t="shared" si="52"/>
        <v/>
      </c>
      <c r="G125" s="208">
        <f t="shared" si="52"/>
        <v>0</v>
      </c>
      <c r="H125" s="208" t="str">
        <f t="shared" si="52"/>
        <v/>
      </c>
      <c r="I125" s="208" t="str">
        <f t="shared" si="52"/>
        <v/>
      </c>
      <c r="J125" s="208">
        <f t="shared" si="52"/>
        <v>0</v>
      </c>
      <c r="K125" s="208" t="str">
        <f t="shared" si="52"/>
        <v/>
      </c>
      <c r="L125" s="208" t="str">
        <f t="shared" si="52"/>
        <v/>
      </c>
      <c r="M125" s="208">
        <f t="shared" si="52"/>
        <v>0</v>
      </c>
      <c r="N125" s="208" t="str">
        <f t="shared" si="52"/>
        <v/>
      </c>
      <c r="O125" s="208" t="str">
        <f t="shared" si="52"/>
        <v/>
      </c>
      <c r="P125" s="208">
        <f t="shared" si="52"/>
        <v>0</v>
      </c>
      <c r="Q125" s="208" t="str">
        <f t="shared" si="52"/>
        <v/>
      </c>
      <c r="R125" s="208" t="str">
        <f t="shared" si="52"/>
        <v/>
      </c>
      <c r="S125" s="208">
        <f t="shared" si="52"/>
        <v>0</v>
      </c>
      <c r="T125" s="208" t="str">
        <f t="shared" si="52"/>
        <v/>
      </c>
      <c r="U125" s="208" t="str">
        <f t="shared" si="52"/>
        <v/>
      </c>
      <c r="V125" s="208">
        <f t="shared" si="52"/>
        <v>0</v>
      </c>
      <c r="W125" s="208" t="str">
        <f>IF(W122="acompte1",$L$2*0.2,IF(W122="acompte2",(SUMIF($D121:$W121,"année1",$D97:$W97)+$L$3)*0.2,IF(W122="acompte3",(SUMIF($D121:$W121,"année2",$D97:$W97))*0.2,"")))</f>
        <v/>
      </c>
    </row>
    <row r="126" spans="2:23" x14ac:dyDescent="0.2">
      <c r="B126" s="202" t="s">
        <v>95</v>
      </c>
      <c r="C126" s="203" t="str">
        <f>IF('Tréso HT'!L1='type TVA'!A3,"vrai","faux")</f>
        <v>faux</v>
      </c>
      <c r="D126" s="208"/>
      <c r="E126" s="208"/>
      <c r="F126" s="208" t="str">
        <f t="shared" ref="F126:W126" si="53">IF(F123="solde0",$L$2*0.2,IF(F123="solde1",SUMIF($D121:$W121,"année1",$D97:$W97)+$L$3-(SUMIF($D122:$W122,"acompte1",$D125:$W125)),IF(F123="solde2",SUMIF($D121:$W121,"année2",$D97:$W97)-(SUMIF($D122:$W122,"acompte2",$D125:$W125)),"")))</f>
        <v/>
      </c>
      <c r="G126" s="208" t="str">
        <f t="shared" si="53"/>
        <v/>
      </c>
      <c r="H126" s="208" t="str">
        <f t="shared" si="53"/>
        <v/>
      </c>
      <c r="I126" s="208" t="str">
        <f t="shared" si="53"/>
        <v/>
      </c>
      <c r="J126" s="208" t="str">
        <f t="shared" si="53"/>
        <v/>
      </c>
      <c r="K126" s="208" t="str">
        <f t="shared" si="53"/>
        <v/>
      </c>
      <c r="L126" s="208" t="str">
        <f t="shared" si="53"/>
        <v/>
      </c>
      <c r="M126" s="208" t="str">
        <f t="shared" si="53"/>
        <v/>
      </c>
      <c r="N126" s="208" t="str">
        <f t="shared" si="53"/>
        <v/>
      </c>
      <c r="O126" s="208" t="str">
        <f t="shared" si="53"/>
        <v/>
      </c>
      <c r="P126" s="208" t="str">
        <f t="shared" si="53"/>
        <v/>
      </c>
      <c r="Q126" s="208">
        <f t="shared" si="53"/>
        <v>0</v>
      </c>
      <c r="R126" s="208" t="str">
        <f t="shared" si="53"/>
        <v/>
      </c>
      <c r="S126" s="208" t="str">
        <f t="shared" si="53"/>
        <v/>
      </c>
      <c r="T126" s="208" t="str">
        <f t="shared" si="53"/>
        <v/>
      </c>
      <c r="U126" s="208" t="str">
        <f t="shared" si="53"/>
        <v/>
      </c>
      <c r="V126" s="208" t="str">
        <f t="shared" si="53"/>
        <v/>
      </c>
      <c r="W126" s="208" t="str">
        <f t="shared" si="53"/>
        <v/>
      </c>
    </row>
    <row r="127" spans="2:23" x14ac:dyDescent="0.2">
      <c r="B127" s="206" t="s">
        <v>130</v>
      </c>
      <c r="C127" s="205" t="str">
        <f>IF('Tréso HT'!L1='type TVA'!A3,"vrai","faux")</f>
        <v>faux</v>
      </c>
      <c r="D127" s="209" t="str">
        <f>IF($C$127="vrai",SUM(D125:D126),"")</f>
        <v/>
      </c>
      <c r="E127" s="209" t="str">
        <f t="shared" ref="E127:W127" si="54">IF($C$127="vrai",SUM(E125:E126),"")</f>
        <v/>
      </c>
      <c r="F127" s="209" t="str">
        <f t="shared" si="54"/>
        <v/>
      </c>
      <c r="G127" s="209" t="str">
        <f t="shared" si="54"/>
        <v/>
      </c>
      <c r="H127" s="209" t="str">
        <f t="shared" si="54"/>
        <v/>
      </c>
      <c r="I127" s="209" t="str">
        <f t="shared" si="54"/>
        <v/>
      </c>
      <c r="J127" s="209" t="str">
        <f t="shared" si="54"/>
        <v/>
      </c>
      <c r="K127" s="209" t="str">
        <f t="shared" si="54"/>
        <v/>
      </c>
      <c r="L127" s="209" t="str">
        <f t="shared" si="54"/>
        <v/>
      </c>
      <c r="M127" s="209" t="str">
        <f t="shared" si="54"/>
        <v/>
      </c>
      <c r="N127" s="209" t="str">
        <f t="shared" si="54"/>
        <v/>
      </c>
      <c r="O127" s="209" t="str">
        <f t="shared" si="54"/>
        <v/>
      </c>
      <c r="P127" s="209" t="str">
        <f t="shared" si="54"/>
        <v/>
      </c>
      <c r="Q127" s="209" t="str">
        <f t="shared" si="54"/>
        <v/>
      </c>
      <c r="R127" s="209" t="str">
        <f t="shared" si="54"/>
        <v/>
      </c>
      <c r="S127" s="209" t="str">
        <f t="shared" si="54"/>
        <v/>
      </c>
      <c r="T127" s="209" t="str">
        <f t="shared" si="54"/>
        <v/>
      </c>
      <c r="U127" s="209" t="str">
        <f t="shared" si="54"/>
        <v/>
      </c>
      <c r="V127" s="209" t="str">
        <f t="shared" si="54"/>
        <v/>
      </c>
      <c r="W127" s="209" t="str">
        <f t="shared" si="54"/>
        <v/>
      </c>
    </row>
    <row r="129" spans="2:23" hidden="1" x14ac:dyDescent="0.2">
      <c r="B129" s="199" t="s">
        <v>128</v>
      </c>
      <c r="D129" s="5">
        <f>SUM(D102,D104,D119,D127)</f>
        <v>0</v>
      </c>
      <c r="E129" s="5">
        <f t="shared" ref="E129:W129" si="55">SUM(E102,E104,E119,E127)</f>
        <v>0</v>
      </c>
      <c r="F129" s="5">
        <f t="shared" si="55"/>
        <v>0</v>
      </c>
      <c r="G129" s="5">
        <f t="shared" si="55"/>
        <v>0</v>
      </c>
      <c r="H129" s="5">
        <f t="shared" si="55"/>
        <v>0</v>
      </c>
      <c r="I129" s="5">
        <f t="shared" si="55"/>
        <v>0</v>
      </c>
      <c r="J129" s="5">
        <f t="shared" si="55"/>
        <v>0</v>
      </c>
      <c r="K129" s="5">
        <f t="shared" si="55"/>
        <v>0</v>
      </c>
      <c r="L129" s="5">
        <f t="shared" si="55"/>
        <v>0</v>
      </c>
      <c r="M129" s="5">
        <f t="shared" si="55"/>
        <v>0</v>
      </c>
      <c r="N129" s="5">
        <f t="shared" si="55"/>
        <v>0</v>
      </c>
      <c r="O129" s="5">
        <f t="shared" si="55"/>
        <v>0</v>
      </c>
      <c r="P129" s="5">
        <f t="shared" ca="1" si="55"/>
        <v>0</v>
      </c>
      <c r="Q129" s="5">
        <f t="shared" si="55"/>
        <v>0</v>
      </c>
      <c r="R129" s="5">
        <f t="shared" si="55"/>
        <v>0</v>
      </c>
      <c r="S129" s="5">
        <f t="shared" ca="1" si="55"/>
        <v>0</v>
      </c>
      <c r="T129" s="5">
        <f t="shared" si="55"/>
        <v>0</v>
      </c>
      <c r="U129" s="5">
        <f t="shared" si="55"/>
        <v>0</v>
      </c>
      <c r="V129" s="5">
        <f t="shared" ca="1" si="55"/>
        <v>0</v>
      </c>
      <c r="W129" s="5">
        <f t="shared" si="55"/>
        <v>0</v>
      </c>
    </row>
    <row r="130" spans="2:23" hidden="1" x14ac:dyDescent="0.2">
      <c r="B130" s="199" t="s">
        <v>126</v>
      </c>
      <c r="D130" s="5" t="str">
        <f>IF(D129&gt;0,D129,"")</f>
        <v/>
      </c>
      <c r="E130" s="5" t="str">
        <f t="shared" ref="E130:W130" si="56">IF(E129&gt;0,E129,"")</f>
        <v/>
      </c>
      <c r="F130" s="5" t="str">
        <f t="shared" si="56"/>
        <v/>
      </c>
      <c r="G130" s="5" t="str">
        <f t="shared" si="56"/>
        <v/>
      </c>
      <c r="H130" s="5" t="str">
        <f t="shared" si="56"/>
        <v/>
      </c>
      <c r="I130" s="5" t="str">
        <f t="shared" si="56"/>
        <v/>
      </c>
      <c r="J130" s="5" t="str">
        <f t="shared" si="56"/>
        <v/>
      </c>
      <c r="K130" s="5" t="str">
        <f t="shared" si="56"/>
        <v/>
      </c>
      <c r="L130" s="5" t="str">
        <f t="shared" si="56"/>
        <v/>
      </c>
      <c r="M130" s="5" t="str">
        <f t="shared" si="56"/>
        <v/>
      </c>
      <c r="N130" s="5" t="str">
        <f t="shared" si="56"/>
        <v/>
      </c>
      <c r="O130" s="5" t="str">
        <f t="shared" si="56"/>
        <v/>
      </c>
      <c r="P130" s="5" t="str">
        <f t="shared" ca="1" si="56"/>
        <v/>
      </c>
      <c r="Q130" s="5" t="str">
        <f t="shared" si="56"/>
        <v/>
      </c>
      <c r="R130" s="5" t="str">
        <f t="shared" si="56"/>
        <v/>
      </c>
      <c r="S130" s="5" t="str">
        <f t="shared" ca="1" si="56"/>
        <v/>
      </c>
      <c r="T130" s="5" t="str">
        <f t="shared" si="56"/>
        <v/>
      </c>
      <c r="U130" s="5" t="str">
        <f t="shared" si="56"/>
        <v/>
      </c>
      <c r="V130" s="5" t="str">
        <f t="shared" ca="1" si="56"/>
        <v/>
      </c>
      <c r="W130" s="5" t="str">
        <f t="shared" si="56"/>
        <v/>
      </c>
    </row>
    <row r="131" spans="2:23" hidden="1" x14ac:dyDescent="0.2">
      <c r="B131" s="199" t="s">
        <v>127</v>
      </c>
      <c r="D131" s="5" t="str">
        <f>IF(D129&lt;0,D129,"")</f>
        <v/>
      </c>
      <c r="E131" s="5" t="str">
        <f t="shared" ref="E131:W131" si="57">IF(E129&lt;0,E129,"")</f>
        <v/>
      </c>
      <c r="F131" s="5" t="str">
        <f t="shared" si="57"/>
        <v/>
      </c>
      <c r="G131" s="5" t="str">
        <f t="shared" si="57"/>
        <v/>
      </c>
      <c r="H131" s="5" t="str">
        <f t="shared" si="57"/>
        <v/>
      </c>
      <c r="I131" s="5" t="str">
        <f t="shared" si="57"/>
        <v/>
      </c>
      <c r="J131" s="5" t="str">
        <f t="shared" si="57"/>
        <v/>
      </c>
      <c r="K131" s="5" t="str">
        <f t="shared" si="57"/>
        <v/>
      </c>
      <c r="L131" s="5" t="str">
        <f t="shared" si="57"/>
        <v/>
      </c>
      <c r="M131" s="5" t="str">
        <f t="shared" si="57"/>
        <v/>
      </c>
      <c r="N131" s="5" t="str">
        <f t="shared" si="57"/>
        <v/>
      </c>
      <c r="O131" s="5" t="str">
        <f t="shared" si="57"/>
        <v/>
      </c>
      <c r="P131" s="5" t="str">
        <f t="shared" ca="1" si="57"/>
        <v/>
      </c>
      <c r="Q131" s="5" t="str">
        <f t="shared" si="57"/>
        <v/>
      </c>
      <c r="R131" s="5" t="str">
        <f t="shared" si="57"/>
        <v/>
      </c>
      <c r="S131" s="5" t="str">
        <f t="shared" ca="1" si="57"/>
        <v/>
      </c>
      <c r="T131" s="5" t="str">
        <f t="shared" si="57"/>
        <v/>
      </c>
      <c r="U131" s="5" t="str">
        <f t="shared" si="57"/>
        <v/>
      </c>
      <c r="V131" s="5" t="str">
        <f t="shared" ca="1" si="57"/>
        <v/>
      </c>
      <c r="W131" s="5" t="str">
        <f t="shared" si="57"/>
        <v/>
      </c>
    </row>
  </sheetData>
  <sheetProtection password="A22E" sheet="1" objects="1" scenarios="1" formatCells="0" formatColumns="0" formatRows="0" autoFilter="0"/>
  <mergeCells count="3">
    <mergeCell ref="M3:N3"/>
    <mergeCell ref="A26:A54"/>
    <mergeCell ref="A9:A23"/>
  </mergeCells>
  <conditionalFormatting sqref="D101:W127">
    <cfRule type="expression" dxfId="1" priority="1">
      <formula>$C101="faux"</formula>
    </cfRule>
  </conditionalFormatting>
  <pageMargins left="0.78740157499999996" right="0.78740157499999996" top="0.984251969" bottom="0.984251969" header="0.4921259845" footer="0.4921259845"/>
  <pageSetup paperSize="9" scale="32" orientation="landscape" r:id="rId1"/>
  <headerFooter alignWithMargins="0"/>
  <ignoredErrors>
    <ignoredError sqref="P18" unlocked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2.75" x14ac:dyDescent="0.2"/>
  <cols>
    <col min="1" max="1" width="46.140625" customWidth="1"/>
  </cols>
  <sheetData>
    <row r="1" spans="1:1" x14ac:dyDescent="0.2">
      <c r="A1" t="s">
        <v>70</v>
      </c>
    </row>
    <row r="2" spans="1:1" ht="18" x14ac:dyDescent="0.25">
      <c r="A2" s="131" t="s">
        <v>82</v>
      </c>
    </row>
    <row r="3" spans="1:1" ht="18" x14ac:dyDescent="0.25">
      <c r="A3" s="131" t="s">
        <v>81</v>
      </c>
    </row>
    <row r="4" spans="1:1" ht="18" x14ac:dyDescent="0.25">
      <c r="A4" s="131" t="s">
        <v>71</v>
      </c>
    </row>
    <row r="5" spans="1:1" ht="18" x14ac:dyDescent="0.25">
      <c r="A5" s="131" t="s">
        <v>72</v>
      </c>
    </row>
    <row r="6" spans="1:1" ht="18" x14ac:dyDescent="0.25">
      <c r="A6" s="131" t="s">
        <v>97</v>
      </c>
    </row>
  </sheetData>
  <sheetProtection password="A22E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TUTO</vt:lpstr>
      <vt:lpstr>Tréso HT</vt:lpstr>
      <vt:lpstr>Tréso TTC</vt:lpstr>
      <vt:lpstr>type TVA</vt:lpstr>
      <vt:lpstr>'Tréso HT'!Zone_d_impression</vt:lpstr>
      <vt:lpstr>'Tréso TTC'!Zone_d_impression</vt:lpstr>
      <vt:lpstr>TUTO!Zone_d_impression</vt:lpstr>
    </vt:vector>
  </TitlesOfParts>
  <Company>Centre Loire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Dév PRO</dc:creator>
  <cp:lastModifiedBy>Angelique TESSIER</cp:lastModifiedBy>
  <cp:lastPrinted>2021-05-10T06:38:53Z</cp:lastPrinted>
  <dcterms:created xsi:type="dcterms:W3CDTF">2001-02-07T14:32:27Z</dcterms:created>
  <dcterms:modified xsi:type="dcterms:W3CDTF">2021-05-18T07:29:08Z</dcterms:modified>
</cp:coreProperties>
</file>